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995" windowWidth="14940" windowHeight="4560" activeTab="1"/>
  </bookViews>
  <sheets>
    <sheet name="概要 " sheetId="1" r:id="rId1"/>
    <sheet name="入力SHEET" sheetId="2" r:id="rId2"/>
    <sheet name="分析結果" sheetId="3" r:id="rId3"/>
    <sheet name="分析過程" sheetId="4" r:id="rId4"/>
    <sheet name="詳細・ｸﾞﾗﾌ" sheetId="5" r:id="rId5"/>
    <sheet name="直波・民消" sheetId="6" state="hidden" r:id="rId6"/>
    <sheet name="投入係数表" sheetId="7" state="hidden" r:id="rId7"/>
    <sheet name="逆行列係数表" sheetId="8" state="hidden" r:id="rId8"/>
  </sheets>
  <definedNames>
    <definedName name="_xlnm.Print_Area" localSheetId="4">'詳細・ｸﾞﾗﾌ'!$A$1:$AE$139</definedName>
    <definedName name="_xlnm.Print_Area" localSheetId="3">'分析過程'!$A$1:$AS$103</definedName>
    <definedName name="_xlnm.Print_Titles" localSheetId="7">'逆行列係数表'!$A:$B,'逆行列係数表'!$1:$2</definedName>
    <definedName name="_xlnm.Print_Titles" localSheetId="6">'投入係数表'!$A:$B,'投入係数表'!$1:$2</definedName>
  </definedNames>
  <calcPr fullCalcOnLoad="1"/>
</workbook>
</file>

<file path=xl/sharedStrings.xml><?xml version="1.0" encoding="utf-8"?>
<sst xmlns="http://schemas.openxmlformats.org/spreadsheetml/2006/main" count="474" uniqueCount="223">
  <si>
    <t>中間投入率</t>
  </si>
  <si>
    <t>粗付加価値率</t>
  </si>
  <si>
    <t>雇用者所得率</t>
  </si>
  <si>
    <t>県内自給率</t>
  </si>
  <si>
    <t>農林水産業</t>
  </si>
  <si>
    <t>鉱業</t>
  </si>
  <si>
    <t>食料品</t>
  </si>
  <si>
    <t>繊維製品</t>
  </si>
  <si>
    <t>ﾊﾟﾙﾌﾟ･紙･木製品</t>
  </si>
  <si>
    <t>化学製品</t>
  </si>
  <si>
    <t>石油･石炭製品</t>
  </si>
  <si>
    <t>窯業･土石製品</t>
  </si>
  <si>
    <t>鉄鋼</t>
  </si>
  <si>
    <t>非鉄金属</t>
  </si>
  <si>
    <t>金属製品</t>
  </si>
  <si>
    <t>一般機械</t>
  </si>
  <si>
    <t>電気機械</t>
  </si>
  <si>
    <t>輸送機械</t>
  </si>
  <si>
    <t>精密機械</t>
  </si>
  <si>
    <t>その他の製造工業</t>
  </si>
  <si>
    <t>建設</t>
  </si>
  <si>
    <t>電力･ｶﾞｽ･熱供給</t>
  </si>
  <si>
    <t>水道･廃棄物処理</t>
  </si>
  <si>
    <t>商業</t>
  </si>
  <si>
    <t>金融･保険</t>
  </si>
  <si>
    <t>不動産</t>
  </si>
  <si>
    <t>運輸</t>
  </si>
  <si>
    <t>通信･放送</t>
  </si>
  <si>
    <t>公務</t>
  </si>
  <si>
    <t>教育･研究</t>
  </si>
  <si>
    <t>医療･保健･社会保障</t>
  </si>
  <si>
    <t>その他の公共ｻｰﾋﾞｽ</t>
  </si>
  <si>
    <t>対事業所ｻｰﾋﾞｽ</t>
  </si>
  <si>
    <t>対個人ｻｰﾋﾞｽ</t>
  </si>
  <si>
    <t>事務用品</t>
  </si>
  <si>
    <t>分類不明</t>
  </si>
  <si>
    <t>生産誘発係数</t>
  </si>
  <si>
    <t>粗付加価値誘発係数</t>
  </si>
  <si>
    <t>電気･ｶﾞｽ･熱供給</t>
  </si>
  <si>
    <t>内生部門計</t>
  </si>
  <si>
    <t>┌----------------直接波及係数----------------┐</t>
  </si>
  <si>
    <t>注）開放型を使用！</t>
  </si>
  <si>
    <t>経済波及効果分析の概要</t>
  </si>
  <si>
    <t>Ⅰ．</t>
  </si>
  <si>
    <t>分析にあたっての前提条件</t>
  </si>
  <si>
    <t>①</t>
  </si>
  <si>
    <t>②</t>
  </si>
  <si>
    <t>③</t>
  </si>
  <si>
    <t>④</t>
  </si>
  <si>
    <t>Ⅱ．</t>
  </si>
  <si>
    <t>分析対象となる波及効果</t>
  </si>
  <si>
    <t>①直接効果</t>
  </si>
  <si>
    <t>②第1次間接効果</t>
  </si>
  <si>
    <t>③第2次間接効果</t>
  </si>
  <si>
    <t>Ⅲ．</t>
  </si>
  <si>
    <t>用語説明</t>
  </si>
  <si>
    <t>中間投入…財貨･ｻｰﾋﾞｽが原材料や燃料等の中間財として取り引きされる投入額</t>
  </si>
  <si>
    <t>中間需要…財貨･ｻｰﾋﾞｽが原材料や燃料等の中間財として取り引きされる需要額</t>
  </si>
  <si>
    <t>粗付加価値…財貨･ｻｰﾋﾞｽが消費や投資等の最終財として取り引きされる投入額</t>
  </si>
  <si>
    <t>最終需要…財貨･ｻｰﾋﾞｽが消費や投資等の最終財として取り引きされる需要額</t>
  </si>
  <si>
    <t>内生部門…中間需要と中間投入の枠で､囲まれた原材料や燃料の取引を表す部分</t>
  </si>
  <si>
    <t>外生部門…最終需要と粗付加価値で､理論ﾓﾃﾞﾙの体系外から大きさが決定される部分</t>
  </si>
  <si>
    <t>投入係数…財貨･ｻｰﾋﾞｽの生産に投入された原材料等の量を､生産量で除した比率</t>
  </si>
  <si>
    <t>粗付加価値係数…財貨･ｻｰﾋﾞｽの粗付加価値の量を､生産量で除した比率</t>
  </si>
  <si>
    <t>　　　　　　産業の生産量を､もとの最終需要の量を1単位として表した比率</t>
  </si>
  <si>
    <t>生産誘発額…ある産業部門の県内生産額がどの最終需要項目によってどれだけ誘発されたものであるかみたもの</t>
  </si>
  <si>
    <t>粗付加価値誘発額…ある産業部門の粗付加価値額がどの最終需要項目によってどれだけ誘発されたものであるかみたもの</t>
  </si>
  <si>
    <t>雇用者所得誘発額…ある産業部門の雇用者所得額がどの最終需要項目によってどれだけ誘発されたものであるかみたもの</t>
  </si>
  <si>
    <t>逆行列係数表は開放経済型を使用</t>
  </si>
  <si>
    <t>＝</t>
  </si>
  <si>
    <t>×</t>
  </si>
  <si>
    <t>億円</t>
  </si>
  <si>
    <t>直接波及効果分析</t>
  </si>
  <si>
    <t>発生需要額とその単位を下の青枠内に入力する。</t>
  </si>
  <si>
    <t>Ⅰ.</t>
  </si>
  <si>
    <t>Ⅲ.</t>
  </si>
  <si>
    <t>第１次間接効果分析</t>
  </si>
  <si>
    <t>×</t>
  </si>
  <si>
    <t>＝</t>
  </si>
  <si>
    <t>第２次間接効果分析</t>
  </si>
  <si>
    <t>＋</t>
  </si>
  <si>
    <t>生産誘発額</t>
  </si>
  <si>
    <t>粗付加価値誘発額</t>
  </si>
  <si>
    <t>雇用者所得誘発額</t>
  </si>
  <si>
    <t>第２次間接効果</t>
  </si>
  <si>
    <t>第１次間接効果</t>
  </si>
  <si>
    <t>直　接　効　果</t>
  </si>
  <si>
    <t>合　　　　　計</t>
  </si>
  <si>
    <t>☆分析結果☆</t>
  </si>
  <si>
    <t>☆分析にあたっての前提条件☆</t>
  </si>
  <si>
    <t>前のシート｢入力SHEET｣にデータを入力し、後は｢分析結果｣をプリントアウトすると結果はすぐに出てきます。しかし、内容を理解するのが大切なことなので、ぜひこのシートの手順及び赤枠内の計算式・関数を参照し理解して下さい。</t>
  </si>
  <si>
    <t>【波及効果表】</t>
  </si>
  <si>
    <t>　③逆行列係数表は開放経済型を使用する。</t>
  </si>
  <si>
    <t>第２次間接効果</t>
  </si>
  <si>
    <t>合計</t>
  </si>
  <si>
    <t>合　　　計</t>
  </si>
  <si>
    <t>産業別雇用者所得誘発額</t>
  </si>
  <si>
    <t>産業別粗付加価値誘発額</t>
  </si>
  <si>
    <t>産業別生産誘発額</t>
  </si>
  <si>
    <t>RANK</t>
  </si>
  <si>
    <t>RANK</t>
  </si>
  <si>
    <t>その他の公共ｻｰﾋﾞｽ</t>
  </si>
  <si>
    <t xml:space="preserve">対事業所ｻｰﾋﾞｽ    </t>
  </si>
  <si>
    <t xml:space="preserve">対個人ｻｰﾋﾞｽ      </t>
  </si>
  <si>
    <t xml:space="preserve">事務用品         </t>
  </si>
  <si>
    <t xml:space="preserve">分類不明         </t>
  </si>
  <si>
    <t xml:space="preserve">教育･研究        </t>
  </si>
  <si>
    <t xml:space="preserve">公務             </t>
  </si>
  <si>
    <t xml:space="preserve">通信･放送        </t>
  </si>
  <si>
    <t xml:space="preserve">運輸             </t>
  </si>
  <si>
    <t xml:space="preserve">不動産           </t>
  </si>
  <si>
    <t xml:space="preserve">金融･保険        </t>
  </si>
  <si>
    <t xml:space="preserve">商業             </t>
  </si>
  <si>
    <t xml:space="preserve">電力･ｶﾞｽ･熱供給  </t>
  </si>
  <si>
    <t xml:space="preserve">建設             </t>
  </si>
  <si>
    <t xml:space="preserve">その他の製造工業  </t>
  </si>
  <si>
    <t xml:space="preserve">精密機械         </t>
  </si>
  <si>
    <t xml:space="preserve">輸送機械         </t>
  </si>
  <si>
    <t xml:space="preserve">電気機械         </t>
  </si>
  <si>
    <t xml:space="preserve">一般機械         </t>
  </si>
  <si>
    <t xml:space="preserve">金属製品         </t>
  </si>
  <si>
    <t xml:space="preserve">非鉄金属         </t>
  </si>
  <si>
    <t xml:space="preserve">鉄鋼             </t>
  </si>
  <si>
    <t xml:space="preserve">窯業･土石製品    </t>
  </si>
  <si>
    <t xml:space="preserve">石油･石炭製品    </t>
  </si>
  <si>
    <t xml:space="preserve">化学製品         </t>
  </si>
  <si>
    <t xml:space="preserve">ﾊﾟﾙﾌﾟ･紙･木製品  </t>
  </si>
  <si>
    <t xml:space="preserve">繊維製品         </t>
  </si>
  <si>
    <t xml:space="preserve">食料品           </t>
  </si>
  <si>
    <t xml:space="preserve">鉱業             </t>
  </si>
  <si>
    <t xml:space="preserve">農林水産業       </t>
  </si>
  <si>
    <t>医療･保健･社会保障</t>
  </si>
  <si>
    <t xml:space="preserve">水道･廃棄物処理   </t>
  </si>
  <si>
    <t>第１次産業(1)</t>
  </si>
  <si>
    <t>第２次産業(2-17,31)</t>
  </si>
  <si>
    <t>第３次産業(18-30,32)</t>
  </si>
  <si>
    <t>　①平成７年石川県産業連関表の統合大分類表を使用する。</t>
  </si>
  <si>
    <t>　②波及は第２次間接効果までとする。（１年間とは限らない）</t>
  </si>
  <si>
    <t>民間消費支出構成比</t>
  </si>
  <si>
    <t>┌-------民間消費支出-------┐</t>
  </si>
  <si>
    <t>民間消費支出</t>
  </si>
  <si>
    <t>⑥</t>
  </si>
  <si>
    <t>⑦</t>
  </si>
  <si>
    <t>単位（万）</t>
  </si>
  <si>
    <t>直接効果</t>
  </si>
  <si>
    <t>間接波及効果</t>
  </si>
  <si>
    <t>　生産誘発額＝消費支出×逆行列係数</t>
  </si>
  <si>
    <t>産業分類表　</t>
  </si>
  <si>
    <t>番号</t>
  </si>
  <si>
    <t>産業分類名</t>
  </si>
  <si>
    <t>産業分類</t>
  </si>
  <si>
    <t>左の産業分類表から試算する該当産業の番号を下の青枠内に入力する。</t>
  </si>
  <si>
    <t>Ⅱ.</t>
  </si>
  <si>
    <t>・発生需要額</t>
  </si>
  <si>
    <t>・単位</t>
  </si>
  <si>
    <t>・家計調査年</t>
  </si>
  <si>
    <t>・平均消費性向は</t>
  </si>
  <si>
    <t>平均消費性向</t>
  </si>
  <si>
    <t>中間投入</t>
  </si>
  <si>
    <t>〓</t>
  </si>
  <si>
    <t>その部門の中間投入率</t>
  </si>
  <si>
    <t>需要</t>
  </si>
  <si>
    <t>粗付加価値</t>
  </si>
  <si>
    <t>雇用者所得</t>
  </si>
  <si>
    <t>その部門の粗付加価値率</t>
  </si>
  <si>
    <t>その部門の雇用者所得率</t>
  </si>
  <si>
    <t>各原材料等の県内自給率</t>
  </si>
  <si>
    <t>中間投入率</t>
  </si>
  <si>
    <t>需要額</t>
  </si>
  <si>
    <t>×</t>
  </si>
  <si>
    <t>①</t>
  </si>
  <si>
    <t>県内需要増加額</t>
  </si>
  <si>
    <t>生産誘発額</t>
  </si>
  <si>
    <t>生産誘発額</t>
  </si>
  <si>
    <t>県内需要増加分</t>
  </si>
  <si>
    <t>粗付加価値誘発額</t>
  </si>
  <si>
    <t>雇用者所得誘発額</t>
  </si>
  <si>
    <t>第1次間接効果分</t>
  </si>
  <si>
    <t>直接効果分</t>
  </si>
  <si>
    <t>雇用者所得合計</t>
  </si>
  <si>
    <t>消費支出</t>
  </si>
  <si>
    <t>平均消費性向</t>
  </si>
  <si>
    <t>消費支出</t>
  </si>
  <si>
    <t>③</t>
  </si>
  <si>
    <t>産業別民間消費額</t>
  </si>
  <si>
    <t>産業別民間消費額</t>
  </si>
  <si>
    <t>県内需要増加額</t>
  </si>
  <si>
    <t>④</t>
  </si>
  <si>
    <t>⑤</t>
  </si>
  <si>
    <t>生産誘発額</t>
  </si>
  <si>
    <t>民間消費支出の粗付加価値誘発係数</t>
  </si>
  <si>
    <t>その部門の雇用者所得率</t>
  </si>
  <si>
    <t>生産誘発額</t>
  </si>
  <si>
    <t>雇用者所得誘発額</t>
  </si>
  <si>
    <t>その部門の逆行列係数</t>
  </si>
  <si>
    <t>民間消費支出の生産誘発</t>
  </si>
  <si>
    <t>年度</t>
  </si>
  <si>
    <t>平均消費性向値（％）</t>
  </si>
  <si>
    <t>「産業分類表」の下段の表の時点修正をすること。</t>
  </si>
  <si>
    <t>実際に入力するのはこのシートの下の青枠全４カ所のみです。</t>
  </si>
  <si>
    <t>お問い合わせはこちらまで</t>
  </si>
  <si>
    <t>石川県県民文化局県民交流課統計情報室統計情報グループ</t>
  </si>
  <si>
    <t>理　　　　　　　　　　　由</t>
  </si>
  <si>
    <t>平成７年石川県産業連関表の統合大分類32部門表を使用</t>
  </si>
  <si>
    <t>経済波及効果の分析は第２次間接効果までとする</t>
  </si>
  <si>
    <t>実際は３次､４次と続くが、効果が微妙になる上、発生時期についても極めて曖昧であるため</t>
  </si>
  <si>
    <t>移輸入を考慮しない封鎖型経済よりも考慮した開放型経済を想定した方が、より精緻なデータが得られるため</t>
  </si>
  <si>
    <t>平均消費性向は家計調査の金沢市勤労者世帯の平均消費性向によるものとし、産業連関表の民間消費支出と同じ構成比の消費が行われるものと仮定する</t>
  </si>
  <si>
    <t>　中間投入＝需要×その部門の中間投入率</t>
  </si>
  <si>
    <t>　粗付加価値＝需要×その部門の粗付加価値率</t>
  </si>
  <si>
    <t>　雇用者所得＝需要×その部門の雇用者所得率</t>
  </si>
  <si>
    <t>　県内需要増加額＝中間投入×各原材料等の県内自給率</t>
  </si>
  <si>
    <t>　生産誘発額＝県内需要増加額×逆行列係数</t>
  </si>
  <si>
    <t>　粗付加価値誘発額＝生産誘発額×その部門の粗付加価値率</t>
  </si>
  <si>
    <t>　雇用者所得誘発額＝生産誘発額×その部門の雇用者所得率</t>
  </si>
  <si>
    <t>　雇用者所得合計＝直接効果分＋第1次間接効果分</t>
  </si>
  <si>
    <t>　消費支出＝雇用者所得合計×平均消費性向</t>
  </si>
  <si>
    <t>　粗付加価値誘発額＝消費支出×民間消費支出の粗付加価値誘発係数</t>
  </si>
  <si>
    <t>　雇用者所得誘発額＝生産誘発額×その部門の雇用者所得率</t>
  </si>
  <si>
    <t>逆行列係数…ある産業に１単位の最終需要が追加された場合､この最終需要を満たすために直接・間接に必要なさまざまな</t>
  </si>
  <si>
    <t>　ＴＥＬ　（０７６）２２５－１３４１</t>
  </si>
  <si>
    <t>　ＦＡＸ　（０７６）２２５－１３４５</t>
  </si>
  <si>
    <t xml:space="preserve">  E-mail　toukei@pref.ishikawa.jp</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</si>
</sst>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Red]\-#,##0.000000\ "/>
    <numFmt numFmtId="177" formatCode="#,##0.0000000_ ;[Red]\-#,##0.0000000\ "/>
    <numFmt numFmtId="178" formatCode="#,##0.00000000_ ;[Red]\-#,##0.00000000\ "/>
    <numFmt numFmtId="179" formatCode="#,##0.00000_ ;[Red]\-#,##0.00000\ "/>
    <numFmt numFmtId="180" formatCode="#,##0.0000_ ;[Red]\-#,##0.0000\ "/>
    <numFmt numFmtId="181" formatCode="#,##0.000_ ;[Red]\-#,##0.000\ "/>
    <numFmt numFmtId="182" formatCode="#,##0.00_ ;[Red]\-#,##0.00\ "/>
    <numFmt numFmtId="183" formatCode="#,##0.0_ ;[Red]\-#,##0.0\ "/>
    <numFmt numFmtId="184" formatCode="#,##0_ ;[Red]\-#,##0\ "/>
    <numFmt numFmtId="185" formatCode="0.0000"/>
    <numFmt numFmtId="186" formatCode="0.000"/>
    <numFmt numFmtId="187" formatCode="0.0"/>
    <numFmt numFmtId="188" formatCode="0.00000"/>
    <numFmt numFmtId="189" formatCode="0.000000"/>
    <numFmt numFmtId="190" formatCode="0.0%"/>
    <numFmt numFmtId="191" formatCode="0.0000000"/>
    <numFmt numFmtId="192" formatCode="0.0_);[Red]\(0.0\)"/>
    <numFmt numFmtId="193" formatCode="0.0000000000000_);[Red]\(0.0000000000000\)"/>
    <numFmt numFmtId="194" formatCode="0.000000000000_);[Red]\(0.000000000000\)"/>
    <numFmt numFmtId="195" formatCode="0.00000000000_);[Red]\(0.00000000000\)"/>
    <numFmt numFmtId="196" formatCode="0.0000000000_);[Red]\(0.0000000000\)"/>
    <numFmt numFmtId="197" formatCode="0.000000000_);[Red]\(0.000000000\)"/>
    <numFmt numFmtId="198" formatCode="0.00000000_);[Red]\(0.00000000\)"/>
    <numFmt numFmtId="199" formatCode="0.0000000_);[Red]\(0.0000000\)"/>
    <numFmt numFmtId="200" formatCode="0.000000_);[Red]\(0.000000\)"/>
    <numFmt numFmtId="201" formatCode="0.00000_);[Red]\(0.00000\)"/>
    <numFmt numFmtId="202" formatCode="0.0000_);[Red]\(0.0000\)"/>
    <numFmt numFmtId="203" formatCode="0.000_);[Red]\(0.000\)"/>
    <numFmt numFmtId="204" formatCode="0.00_);[Red]\(0.00\)"/>
    <numFmt numFmtId="205" formatCode="#,##0.0_ "/>
    <numFmt numFmtId="206" formatCode="#,##0.0;[Red]\-#,##0.0"/>
    <numFmt numFmtId="207" formatCode="#,##0.00000000000_ ;[Red]\-#,##0.00000000000\ "/>
    <numFmt numFmtId="208" formatCode="#,##0.0000000000_ ;[Red]\-#,##0.0000000000\ "/>
    <numFmt numFmtId="209" formatCode="#,##0_);[Red]\(#,##0\)"/>
    <numFmt numFmtId="210" formatCode="#,##0.00000_);[Red]\(#,##0.00000\)"/>
    <numFmt numFmtId="211" formatCode="#,##0.000000_);[Red]\(#,##0.000000\)"/>
    <numFmt numFmtId="212" formatCode="0.0_ "/>
    <numFmt numFmtId="213" formatCode="#,##0.0_);\(#,##0.0\)"/>
    <numFmt numFmtId="214" formatCode="0_);[Red]\(0\)"/>
    <numFmt numFmtId="215" formatCode="#,##0.0_);[Red]\(#,##0.0\)"/>
  </numFmts>
  <fonts count="30">
    <font>
      <sz val="11"/>
      <name val="ＭＳ 明朝"/>
      <family val="1"/>
    </font>
    <font>
      <sz val="6"/>
      <name val="ＭＳ 明朝"/>
      <family val="1"/>
    </font>
    <font>
      <sz val="11"/>
      <color indexed="10"/>
      <name val="ＭＳ 明朝"/>
      <family val="1"/>
    </font>
    <font>
      <b/>
      <sz val="11"/>
      <color indexed="10"/>
      <name val="ＭＳ 明朝"/>
      <family val="1"/>
    </font>
    <font>
      <b/>
      <sz val="11"/>
      <name val="ＭＳ 明朝"/>
      <family val="1"/>
    </font>
    <font>
      <b/>
      <sz val="11"/>
      <color indexed="12"/>
      <name val="ＭＳ 明朝"/>
      <family val="1"/>
    </font>
    <font>
      <sz val="14"/>
      <name val="ＭＳ ゴシック"/>
      <family val="3"/>
    </font>
    <font>
      <sz val="14"/>
      <name val="ＭＳ 明朝"/>
      <family val="1"/>
    </font>
    <font>
      <sz val="16"/>
      <name val="ＭＳ ゴシック"/>
      <family val="3"/>
    </font>
    <font>
      <sz val="10"/>
      <name val="ＭＳ 明朝"/>
      <family val="1"/>
    </font>
    <font>
      <sz val="10"/>
      <name val="ＭＳ ゴシック"/>
      <family val="3"/>
    </font>
    <font>
      <sz val="8.25"/>
      <name val="ＭＳ ゴシック"/>
      <family val="3"/>
    </font>
    <font>
      <sz val="12"/>
      <name val="ＭＳ 明朝"/>
      <family val="1"/>
    </font>
    <font>
      <sz val="15.5"/>
      <name val="ＭＳ 明朝"/>
      <family val="1"/>
    </font>
    <font>
      <sz val="15.25"/>
      <name val="ＭＳ 明朝"/>
      <family val="1"/>
    </font>
    <font>
      <sz val="8"/>
      <name val="ＭＳ ゴシック"/>
      <family val="3"/>
    </font>
    <font>
      <sz val="9"/>
      <name val="ＭＳ 明朝"/>
      <family val="1"/>
    </font>
    <font>
      <sz val="16"/>
      <name val="ＭＳ 明朝"/>
      <family val="1"/>
    </font>
    <font>
      <b/>
      <sz val="12"/>
      <color indexed="50"/>
      <name val="ＭＳ 明朝"/>
      <family val="1"/>
    </font>
    <font>
      <b/>
      <sz val="18"/>
      <name val="ＭＳ ゴシック"/>
      <family val="3"/>
    </font>
    <font>
      <b/>
      <sz val="14"/>
      <name val="ＭＳ 明朝"/>
      <family val="1"/>
    </font>
    <font>
      <sz val="11"/>
      <color indexed="14"/>
      <name val="ＭＳ 明朝"/>
      <family val="1"/>
    </font>
    <font>
      <b/>
      <sz val="11"/>
      <color indexed="14"/>
      <name val="ＭＳ 明朝"/>
      <family val="1"/>
    </font>
    <font>
      <b/>
      <sz val="12"/>
      <color indexed="52"/>
      <name val="ＭＳ 明朝"/>
      <family val="1"/>
    </font>
    <font>
      <sz val="11"/>
      <name val="ＭＳ ゴシック"/>
      <family val="3"/>
    </font>
    <font>
      <sz val="11"/>
      <color indexed="20"/>
      <name val="ＭＳ 明朝"/>
      <family val="1"/>
    </font>
    <font>
      <sz val="12"/>
      <name val="ＭＳ ゴシック"/>
      <family val="3"/>
    </font>
    <font>
      <b/>
      <sz val="12"/>
      <name val="ＭＳ 明朝"/>
      <family val="1"/>
    </font>
    <font>
      <sz val="12"/>
      <color indexed="53"/>
      <name val="ＭＳ 明朝"/>
      <family val="1"/>
    </font>
    <font>
      <u val="single"/>
      <sz val="11"/>
      <color indexed="12"/>
      <name val="ＭＳ 明朝"/>
      <family val="1"/>
    </font>
  </fonts>
  <fills count="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1"/>
        <bgColor indexed="64"/>
      </patternFill>
    </fill>
  </fills>
  <borders count="4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color indexed="63"/>
      </left>
      <right>
        <color indexed="63"/>
      </right>
      <top>
        <color indexed="63"/>
      </top>
      <bottom style="dashDot"/>
    </border>
    <border>
      <left style="medium"/>
      <right style="thin"/>
      <top style="thin"/>
      <bottom style="thin"/>
    </border>
    <border>
      <left>
        <color indexed="63"/>
      </left>
      <right style="medium"/>
      <top style="thin"/>
      <bottom style="thin"/>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medium"/>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color indexed="45"/>
      </left>
      <right style="thin">
        <color indexed="45"/>
      </right>
      <top style="thin">
        <color indexed="45"/>
      </top>
      <bottom style="thin">
        <color indexed="45"/>
      </bottom>
    </border>
    <border>
      <left>
        <color indexed="63"/>
      </left>
      <right>
        <color indexed="63"/>
      </right>
      <top style="medium">
        <color indexed="10"/>
      </top>
      <bottom style="medium">
        <color indexed="10"/>
      </bottom>
    </border>
    <border>
      <left style="thin">
        <color indexed="45"/>
      </left>
      <right style="thin">
        <color indexed="45"/>
      </right>
      <top style="thin">
        <color indexed="45"/>
      </top>
      <bottom>
        <color indexed="63"/>
      </bottom>
    </border>
    <border>
      <left style="thin">
        <color indexed="45"/>
      </left>
      <right style="thin">
        <color indexed="45"/>
      </right>
      <top>
        <color indexed="63"/>
      </top>
      <bottom>
        <color indexed="63"/>
      </bottom>
    </border>
    <border>
      <left style="thin">
        <color indexed="45"/>
      </left>
      <right style="thin">
        <color indexed="45"/>
      </right>
      <top>
        <color indexed="63"/>
      </top>
      <bottom style="thin">
        <color indexed="45"/>
      </bottom>
    </border>
    <border>
      <left>
        <color indexed="63"/>
      </left>
      <right>
        <color indexed="63"/>
      </right>
      <top style="thin"/>
      <bottom style="thin"/>
    </border>
    <border>
      <left style="thin"/>
      <right>
        <color indexed="63"/>
      </right>
      <top>
        <color indexed="63"/>
      </top>
      <bottom>
        <color indexed="63"/>
      </bottom>
    </border>
    <border>
      <left style="dashed"/>
      <right style="thin"/>
      <top style="thin"/>
      <bottom>
        <color indexed="63"/>
      </bottom>
    </border>
    <border>
      <left style="thin"/>
      <right style="thin"/>
      <top style="thin"/>
      <bottom>
        <color indexed="63"/>
      </bottom>
    </border>
    <border>
      <left style="dashed"/>
      <right style="thin"/>
      <top>
        <color indexed="63"/>
      </top>
      <bottom>
        <color indexed="63"/>
      </bottom>
    </border>
    <border>
      <left style="thin"/>
      <right style="thin"/>
      <top>
        <color indexed="63"/>
      </top>
      <bottom>
        <color indexed="63"/>
      </bottom>
    </border>
    <border>
      <left style="dashed"/>
      <right style="thin"/>
      <top>
        <color indexed="63"/>
      </top>
      <bottom style="thin"/>
    </border>
    <border>
      <left style="thin"/>
      <right style="thin"/>
      <top>
        <color indexed="63"/>
      </top>
      <bottom style="thin"/>
    </border>
    <border>
      <left>
        <color indexed="63"/>
      </left>
      <right>
        <color indexed="63"/>
      </right>
      <top>
        <color indexed="63"/>
      </top>
      <bottom style="thin">
        <color indexed="45"/>
      </bottom>
    </border>
    <border>
      <left style="thin">
        <color indexed="33"/>
      </left>
      <right>
        <color indexed="63"/>
      </right>
      <top style="thin">
        <color indexed="33"/>
      </top>
      <bottom>
        <color indexed="63"/>
      </bottom>
    </border>
    <border>
      <left>
        <color indexed="63"/>
      </left>
      <right style="thin">
        <color indexed="33"/>
      </right>
      <top style="thin">
        <color indexed="33"/>
      </top>
      <bottom>
        <color indexed="63"/>
      </bottom>
    </border>
    <border>
      <left style="thin">
        <color indexed="33"/>
      </left>
      <right>
        <color indexed="63"/>
      </right>
      <top>
        <color indexed="63"/>
      </top>
      <bottom style="thin">
        <color indexed="33"/>
      </bottom>
    </border>
    <border>
      <left>
        <color indexed="63"/>
      </left>
      <right style="thin">
        <color indexed="33"/>
      </right>
      <top>
        <color indexed="63"/>
      </top>
      <bottom style="thin">
        <color indexed="33"/>
      </bottom>
    </border>
    <border>
      <left style="thick">
        <color indexed="39"/>
      </left>
      <right>
        <color indexed="63"/>
      </right>
      <top style="thick">
        <color indexed="39"/>
      </top>
      <bottom>
        <color indexed="63"/>
      </bottom>
    </border>
    <border>
      <left>
        <color indexed="63"/>
      </left>
      <right style="thick">
        <color indexed="39"/>
      </right>
      <top style="thick">
        <color indexed="39"/>
      </top>
      <bottom>
        <color indexed="63"/>
      </bottom>
    </border>
    <border>
      <left style="thick">
        <color indexed="39"/>
      </left>
      <right>
        <color indexed="63"/>
      </right>
      <top>
        <color indexed="63"/>
      </top>
      <bottom style="thick">
        <color indexed="39"/>
      </bottom>
    </border>
    <border>
      <left>
        <color indexed="63"/>
      </left>
      <right style="thick">
        <color indexed="39"/>
      </right>
      <top>
        <color indexed="63"/>
      </top>
      <bottom style="thick">
        <color indexed="39"/>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9">
    <xf numFmtId="0" fontId="0" fillId="0" borderId="0" xfId="0" applyAlignment="1">
      <alignment/>
    </xf>
    <xf numFmtId="176" fontId="0" fillId="0" borderId="0" xfId="0" applyNumberFormat="1" applyAlignment="1">
      <alignment vertical="center" wrapText="1"/>
    </xf>
    <xf numFmtId="176" fontId="2" fillId="0" borderId="0" xfId="0" applyNumberFormat="1" applyFont="1" applyAlignment="1">
      <alignment vertical="center" wrapText="1"/>
    </xf>
    <xf numFmtId="184" fontId="0" fillId="0" borderId="0" xfId="0" applyNumberFormat="1" applyAlignment="1">
      <alignment vertical="center" wrapText="1"/>
    </xf>
    <xf numFmtId="176" fontId="0" fillId="0" borderId="0" xfId="0" applyNumberFormat="1" applyAlignment="1">
      <alignment horizontal="center" vertical="center" wrapText="1"/>
    </xf>
    <xf numFmtId="184" fontId="2" fillId="0" borderId="0" xfId="0" applyNumberFormat="1" applyFont="1" applyAlignment="1">
      <alignment vertical="center" wrapText="1"/>
    </xf>
    <xf numFmtId="184" fontId="0" fillId="0" borderId="0" xfId="0" applyNumberFormat="1" applyAlignment="1">
      <alignment horizontal="center" vertical="center" wrapText="1"/>
    </xf>
    <xf numFmtId="176" fontId="0" fillId="0" borderId="0" xfId="0" applyNumberFormat="1" applyFont="1" applyAlignment="1">
      <alignment vertical="center" wrapText="1"/>
    </xf>
    <xf numFmtId="176" fontId="0" fillId="0" borderId="0" xfId="0" applyNumberFormat="1" applyFont="1" applyAlignment="1">
      <alignment horizontal="center" vertical="center" wrapText="1"/>
    </xf>
    <xf numFmtId="184" fontId="3" fillId="0" borderId="0" xfId="0" applyNumberFormat="1" applyFont="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4" fillId="0" borderId="0" xfId="0" applyFont="1" applyAlignment="1">
      <alignment vertical="center"/>
    </xf>
    <xf numFmtId="0" fontId="0" fillId="0" borderId="0" xfId="0" applyAlignment="1">
      <alignment horizontal="center" vertical="center"/>
    </xf>
    <xf numFmtId="187" fontId="0" fillId="0" borderId="5" xfId="0" applyNumberFormat="1" applyBorder="1" applyAlignment="1">
      <alignment horizontal="center" vertical="center"/>
    </xf>
    <xf numFmtId="0" fontId="2" fillId="0" borderId="0" xfId="0" applyFont="1" applyAlignment="1">
      <alignment vertical="center"/>
    </xf>
    <xf numFmtId="189" fontId="0" fillId="0" borderId="6" xfId="0" applyNumberFormat="1" applyBorder="1" applyAlignment="1">
      <alignment horizontal="center" vertical="center"/>
    </xf>
    <xf numFmtId="189" fontId="0" fillId="0" borderId="7" xfId="0" applyNumberFormat="1" applyBorder="1" applyAlignment="1">
      <alignment horizontal="center" vertical="center"/>
    </xf>
    <xf numFmtId="189" fontId="0" fillId="0" borderId="8" xfId="0" applyNumberFormat="1" applyBorder="1" applyAlignment="1">
      <alignment horizontal="center" vertical="center"/>
    </xf>
    <xf numFmtId="187" fontId="4" fillId="0" borderId="5" xfId="0" applyNumberFormat="1" applyFont="1" applyBorder="1" applyAlignment="1">
      <alignment horizontal="center" vertical="center"/>
    </xf>
    <xf numFmtId="0" fontId="4" fillId="0" borderId="0" xfId="0" applyFont="1" applyAlignment="1">
      <alignment horizontal="center" vertical="center"/>
    </xf>
    <xf numFmtId="191" fontId="0" fillId="0" borderId="6" xfId="0" applyNumberFormat="1" applyBorder="1" applyAlignment="1">
      <alignment vertical="center"/>
    </xf>
    <xf numFmtId="191" fontId="0" fillId="0" borderId="7" xfId="0" applyNumberFormat="1" applyBorder="1" applyAlignment="1">
      <alignment vertical="center"/>
    </xf>
    <xf numFmtId="191" fontId="0" fillId="0" borderId="8" xfId="0" applyNumberFormat="1"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192" fontId="0" fillId="0" borderId="5" xfId="0" applyNumberForma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Border="1" applyAlignment="1">
      <alignment horizontal="right" vertical="center"/>
    </xf>
    <xf numFmtId="0" fontId="7" fillId="0" borderId="0" xfId="0" applyFont="1" applyAlignment="1">
      <alignment horizontal="center" vertical="center"/>
    </xf>
    <xf numFmtId="205" fontId="7" fillId="0" borderId="3" xfId="0" applyNumberFormat="1" applyFont="1" applyBorder="1" applyAlignment="1">
      <alignment vertical="center"/>
    </xf>
    <xf numFmtId="205" fontId="7" fillId="0" borderId="2" xfId="0" applyNumberFormat="1" applyFont="1" applyBorder="1" applyAlignment="1">
      <alignment vertical="center"/>
    </xf>
    <xf numFmtId="0" fontId="6"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9" fillId="0" borderId="0" xfId="0" applyFont="1" applyBorder="1" applyAlignment="1">
      <alignment vertical="center"/>
    </xf>
    <xf numFmtId="0" fontId="16" fillId="0" borderId="0" xfId="0" applyFont="1" applyAlignment="1">
      <alignment vertical="center"/>
    </xf>
    <xf numFmtId="0" fontId="8" fillId="0" borderId="0" xfId="0" applyFont="1" applyAlignment="1">
      <alignment horizontal="distributed" vertical="center"/>
    </xf>
    <xf numFmtId="192" fontId="4" fillId="0" borderId="5" xfId="0" applyNumberFormat="1" applyFont="1" applyBorder="1" applyAlignment="1">
      <alignment vertical="center"/>
    </xf>
    <xf numFmtId="192" fontId="4" fillId="0" borderId="0" xfId="0" applyNumberFormat="1" applyFont="1" applyBorder="1" applyAlignment="1">
      <alignment vertical="center"/>
    </xf>
    <xf numFmtId="0" fontId="17" fillId="0" borderId="0" xfId="0" applyFont="1" applyAlignment="1">
      <alignment vertical="center"/>
    </xf>
    <xf numFmtId="0" fontId="9" fillId="0" borderId="9" xfId="0" applyFon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xf>
    <xf numFmtId="205" fontId="7" fillId="0" borderId="11" xfId="0" applyNumberFormat="1" applyFont="1" applyBorder="1" applyAlignment="1">
      <alignment vertical="center"/>
    </xf>
    <xf numFmtId="0" fontId="7" fillId="0" borderId="12" xfId="0" applyFont="1" applyBorder="1" applyAlignment="1">
      <alignment horizontal="center" vertical="center"/>
    </xf>
    <xf numFmtId="205" fontId="7" fillId="0" borderId="13" xfId="0" applyNumberFormat="1" applyFont="1" applyBorder="1" applyAlignment="1">
      <alignment vertical="center"/>
    </xf>
    <xf numFmtId="205" fontId="7" fillId="0" borderId="14" xfId="0" applyNumberFormat="1" applyFont="1" applyBorder="1" applyAlignment="1">
      <alignment vertical="center"/>
    </xf>
    <xf numFmtId="205" fontId="7" fillId="0" borderId="15" xfId="0" applyNumberFormat="1"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205" fontId="7" fillId="0" borderId="18" xfId="0" applyNumberFormat="1" applyFont="1" applyBorder="1" applyAlignment="1">
      <alignment vertical="center"/>
    </xf>
    <xf numFmtId="205" fontId="7" fillId="0" borderId="19" xfId="0" applyNumberFormat="1" applyFont="1" applyBorder="1" applyAlignment="1">
      <alignment vertical="center"/>
    </xf>
    <xf numFmtId="205" fontId="7" fillId="0" borderId="20" xfId="0" applyNumberFormat="1" applyFont="1" applyBorder="1" applyAlignment="1">
      <alignment vertical="center"/>
    </xf>
    <xf numFmtId="205" fontId="19" fillId="0" borderId="21" xfId="0" applyNumberFormat="1" applyFont="1" applyBorder="1" applyAlignment="1">
      <alignment vertical="center"/>
    </xf>
    <xf numFmtId="205" fontId="7" fillId="0" borderId="22" xfId="0" applyNumberFormat="1" applyFont="1" applyBorder="1" applyAlignment="1">
      <alignment vertical="center"/>
    </xf>
    <xf numFmtId="205" fontId="7" fillId="0" borderId="21" xfId="0" applyNumberFormat="1" applyFont="1" applyBorder="1" applyAlignment="1">
      <alignment vertical="center"/>
    </xf>
    <xf numFmtId="0" fontId="0" fillId="0" borderId="23" xfId="0" applyBorder="1" applyAlignment="1">
      <alignment horizontal="center" vertical="center"/>
    </xf>
    <xf numFmtId="189" fontId="0" fillId="0" borderId="23" xfId="0" applyNumberFormat="1" applyBorder="1" applyAlignment="1">
      <alignment horizontal="center" vertical="center"/>
    </xf>
    <xf numFmtId="0" fontId="20" fillId="0" borderId="0" xfId="0" applyFont="1" applyAlignment="1">
      <alignment vertical="center"/>
    </xf>
    <xf numFmtId="0" fontId="0" fillId="0" borderId="0" xfId="0" applyAlignment="1">
      <alignment vertical="top" wrapText="1"/>
    </xf>
    <xf numFmtId="0" fontId="5" fillId="0" borderId="0" xfId="0" applyFont="1" applyAlignment="1">
      <alignment vertical="center"/>
    </xf>
    <xf numFmtId="186" fontId="0" fillId="0" borderId="0" xfId="0" applyNumberFormat="1" applyBorder="1" applyAlignment="1">
      <alignment horizontal="center" vertical="center"/>
    </xf>
    <xf numFmtId="187" fontId="4" fillId="0" borderId="24" xfId="0" applyNumberFormat="1"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187" fontId="0" fillId="0" borderId="0" xfId="0" applyNumberFormat="1" applyBorder="1" applyAlignment="1">
      <alignment horizontal="center" vertical="center"/>
    </xf>
    <xf numFmtId="189" fontId="0" fillId="0" borderId="0" xfId="0" applyNumberFormat="1" applyBorder="1" applyAlignment="1">
      <alignment horizontal="center" vertical="center"/>
    </xf>
    <xf numFmtId="192" fontId="0" fillId="0" borderId="0" xfId="0" applyNumberFormat="1" applyBorder="1" applyAlignment="1">
      <alignment horizontal="center" vertical="center"/>
    </xf>
    <xf numFmtId="187" fontId="4" fillId="0" borderId="0" xfId="0" applyNumberFormat="1" applyFont="1" applyBorder="1" applyAlignment="1">
      <alignment vertical="center"/>
    </xf>
    <xf numFmtId="192" fontId="4" fillId="0" borderId="24" xfId="0" applyNumberFormat="1" applyFont="1" applyBorder="1" applyAlignment="1">
      <alignment vertical="center"/>
    </xf>
    <xf numFmtId="187" fontId="0" fillId="0" borderId="24" xfId="0" applyNumberFormat="1" applyBorder="1" applyAlignment="1">
      <alignment horizontal="center" vertical="center"/>
    </xf>
    <xf numFmtId="0" fontId="0" fillId="0" borderId="0" xfId="0" applyBorder="1" applyAlignment="1">
      <alignment/>
    </xf>
    <xf numFmtId="187" fontId="4" fillId="0" borderId="5" xfId="0" applyNumberFormat="1" applyFont="1" applyFill="1" applyBorder="1" applyAlignment="1">
      <alignment vertical="center"/>
    </xf>
    <xf numFmtId="187" fontId="0" fillId="0" borderId="0" xfId="0" applyNumberFormat="1" applyAlignment="1">
      <alignment vertical="center"/>
    </xf>
    <xf numFmtId="212" fontId="4" fillId="0" borderId="0" xfId="0" applyNumberFormat="1" applyFont="1" applyBorder="1" applyAlignment="1">
      <alignment vertical="center"/>
    </xf>
    <xf numFmtId="187" fontId="4" fillId="0" borderId="0" xfId="0" applyNumberFormat="1" applyFont="1" applyBorder="1" applyAlignment="1">
      <alignment horizontal="center" vertical="center"/>
    </xf>
    <xf numFmtId="187" fontId="4" fillId="2" borderId="23" xfId="0" applyNumberFormat="1" applyFont="1" applyFill="1" applyBorder="1" applyAlignment="1">
      <alignment horizontal="center" vertical="center"/>
    </xf>
    <xf numFmtId="189" fontId="0" fillId="0" borderId="25" xfId="0" applyNumberFormat="1" applyBorder="1" applyAlignment="1">
      <alignment horizontal="center" vertical="center"/>
    </xf>
    <xf numFmtId="189" fontId="0" fillId="0" borderId="26" xfId="0" applyNumberFormat="1" applyBorder="1" applyAlignment="1">
      <alignment horizontal="center" vertical="center"/>
    </xf>
    <xf numFmtId="189" fontId="0" fillId="0" borderId="27" xfId="0" applyNumberFormat="1" applyBorder="1" applyAlignment="1">
      <alignment horizontal="center" vertical="center"/>
    </xf>
    <xf numFmtId="189" fontId="0" fillId="2" borderId="25" xfId="0" applyNumberFormat="1" applyFill="1" applyBorder="1" applyAlignment="1">
      <alignment horizontal="center" vertical="center"/>
    </xf>
    <xf numFmtId="189" fontId="0" fillId="2" borderId="26" xfId="0" applyNumberFormat="1" applyFill="1" applyBorder="1" applyAlignment="1">
      <alignment horizontal="center" vertical="center"/>
    </xf>
    <xf numFmtId="189" fontId="0" fillId="2" borderId="27" xfId="0" applyNumberFormat="1" applyFill="1" applyBorder="1" applyAlignment="1">
      <alignment horizontal="center" vertical="center"/>
    </xf>
    <xf numFmtId="187" fontId="0" fillId="0" borderId="23" xfId="0" applyNumberFormat="1" applyBorder="1" applyAlignment="1">
      <alignment horizontal="center" vertical="center"/>
    </xf>
    <xf numFmtId="192" fontId="0" fillId="0" borderId="23" xfId="0" applyNumberFormat="1" applyBorder="1" applyAlignment="1">
      <alignment horizontal="center" vertical="center"/>
    </xf>
    <xf numFmtId="187" fontId="4" fillId="2" borderId="23" xfId="0" applyNumberFormat="1" applyFont="1" applyFill="1" applyBorder="1" applyAlignment="1">
      <alignment vertical="center"/>
    </xf>
    <xf numFmtId="187" fontId="0" fillId="2" borderId="23" xfId="0" applyNumberFormat="1" applyFill="1" applyBorder="1" applyAlignment="1">
      <alignment horizontal="center" vertical="center"/>
    </xf>
    <xf numFmtId="189" fontId="0" fillId="0" borderId="25" xfId="0" applyNumberFormat="1" applyFill="1" applyBorder="1" applyAlignment="1">
      <alignment horizontal="center" vertical="center"/>
    </xf>
    <xf numFmtId="189" fontId="0" fillId="0" borderId="26" xfId="0" applyNumberFormat="1" applyFill="1" applyBorder="1" applyAlignment="1">
      <alignment horizontal="center" vertical="center"/>
    </xf>
    <xf numFmtId="189" fontId="0" fillId="0" borderId="27" xfId="0" applyNumberFormat="1" applyFill="1" applyBorder="1" applyAlignment="1">
      <alignment horizontal="center" vertical="center"/>
    </xf>
    <xf numFmtId="0" fontId="0" fillId="0" borderId="0" xfId="0" applyAlignment="1" applyProtection="1">
      <alignment vertical="center"/>
      <protection/>
    </xf>
    <xf numFmtId="0" fontId="0" fillId="0" borderId="0" xfId="0" applyFont="1" applyAlignment="1" applyProtection="1">
      <alignment vertical="center"/>
      <protection/>
    </xf>
    <xf numFmtId="0" fontId="22" fillId="0" borderId="0" xfId="0" applyFont="1" applyAlignment="1" applyProtection="1">
      <alignment vertical="center"/>
      <protection/>
    </xf>
    <xf numFmtId="0" fontId="0" fillId="0" borderId="23" xfId="0" applyFont="1" applyFill="1" applyBorder="1" applyAlignment="1" applyProtection="1">
      <alignment horizontal="center" vertical="center"/>
      <protection/>
    </xf>
    <xf numFmtId="0" fontId="4" fillId="0" borderId="0" xfId="0" applyFont="1" applyAlignment="1" applyProtection="1" quotePrefix="1">
      <alignment vertical="center"/>
      <protection/>
    </xf>
    <xf numFmtId="0" fontId="4" fillId="0" borderId="0" xfId="0" applyFont="1" applyAlignment="1" applyProtection="1">
      <alignment vertical="center"/>
      <protection/>
    </xf>
    <xf numFmtId="184" fontId="24" fillId="3" borderId="23" xfId="0" applyNumberFormat="1" applyFont="1" applyFill="1" applyBorder="1" applyAlignment="1" applyProtection="1">
      <alignment vertical="center"/>
      <protection/>
    </xf>
    <xf numFmtId="176" fontId="0" fillId="3" borderId="23" xfId="0" applyNumberFormat="1"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18"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center" vertical="center"/>
      <protection/>
    </xf>
    <xf numFmtId="0" fontId="22" fillId="0" borderId="0" xfId="0" applyFont="1" applyAlignment="1" applyProtection="1">
      <alignment horizontal="center" vertical="center"/>
      <protection/>
    </xf>
    <xf numFmtId="0" fontId="21" fillId="0" borderId="0" xfId="0" applyFont="1" applyAlignment="1" applyProtection="1">
      <alignment vertical="center"/>
      <protection/>
    </xf>
    <xf numFmtId="0" fontId="0" fillId="0" borderId="0" xfId="0" applyAlignment="1" applyProtection="1" quotePrefix="1">
      <alignment vertical="center"/>
      <protection/>
    </xf>
    <xf numFmtId="0" fontId="0" fillId="0" borderId="0" xfId="0" applyFont="1" applyAlignment="1" applyProtection="1">
      <alignment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horizontal="left" vertical="center"/>
      <protection/>
    </xf>
    <xf numFmtId="176" fontId="0" fillId="3" borderId="23" xfId="0" applyNumberFormat="1" applyFont="1" applyFill="1" applyBorder="1" applyAlignment="1" applyProtection="1">
      <alignment vertical="center"/>
      <protection/>
    </xf>
    <xf numFmtId="183" fontId="0" fillId="3" borderId="23" xfId="0" applyNumberFormat="1" applyFont="1" applyFill="1" applyBorder="1" applyAlignment="1" applyProtection="1">
      <alignment vertical="center"/>
      <protection/>
    </xf>
    <xf numFmtId="0" fontId="0" fillId="0" borderId="0" xfId="0" applyFont="1" applyAlignment="1">
      <alignment vertical="center"/>
    </xf>
    <xf numFmtId="0" fontId="26" fillId="0" borderId="28" xfId="0" applyFont="1" applyBorder="1" applyAlignment="1">
      <alignment horizontal="center" vertical="center" shrinkToFi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4" borderId="28"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0" xfId="0" applyFont="1" applyAlignment="1">
      <alignment horizontal="center" vertical="center"/>
    </xf>
    <xf numFmtId="0" fontId="12" fillId="0" borderId="29" xfId="0" applyFont="1" applyBorder="1" applyAlignment="1">
      <alignment vertical="center"/>
    </xf>
    <xf numFmtId="0" fontId="12" fillId="0" borderId="0" xfId="0" applyFont="1" applyBorder="1" applyAlignment="1">
      <alignment vertical="center"/>
    </xf>
    <xf numFmtId="38" fontId="27" fillId="0" borderId="18" xfId="17" applyFont="1" applyBorder="1" applyAlignment="1">
      <alignment vertical="center"/>
    </xf>
    <xf numFmtId="215" fontId="12" fillId="0" borderId="29" xfId="17" applyNumberFormat="1" applyFont="1" applyBorder="1" applyAlignment="1">
      <alignment vertical="center"/>
    </xf>
    <xf numFmtId="38" fontId="12" fillId="0" borderId="30" xfId="17" applyNumberFormat="1" applyFont="1" applyBorder="1" applyAlignment="1">
      <alignment vertical="center"/>
    </xf>
    <xf numFmtId="183" fontId="12" fillId="0" borderId="29" xfId="17" applyNumberFormat="1" applyFont="1" applyBorder="1" applyAlignment="1">
      <alignment vertical="center"/>
    </xf>
    <xf numFmtId="209" fontId="12" fillId="4" borderId="0" xfId="17" applyNumberFormat="1" applyFont="1" applyFill="1" applyBorder="1" applyAlignment="1">
      <alignment vertical="center"/>
    </xf>
    <xf numFmtId="38" fontId="28" fillId="4" borderId="30" xfId="17" applyNumberFormat="1" applyFont="1" applyFill="1" applyBorder="1" applyAlignment="1">
      <alignment vertical="center"/>
    </xf>
    <xf numFmtId="0" fontId="12" fillId="0" borderId="0" xfId="0" applyFont="1" applyAlignment="1">
      <alignment vertical="center"/>
    </xf>
    <xf numFmtId="184" fontId="27" fillId="0" borderId="31" xfId="17" applyNumberFormat="1" applyFont="1" applyBorder="1" applyAlignment="1">
      <alignment vertical="center"/>
    </xf>
    <xf numFmtId="206" fontId="12" fillId="0" borderId="29" xfId="17" applyNumberFormat="1" applyFont="1" applyBorder="1" applyAlignment="1">
      <alignment vertical="center"/>
    </xf>
    <xf numFmtId="213" fontId="12" fillId="4" borderId="0" xfId="17" applyNumberFormat="1" applyFont="1" applyFill="1" applyBorder="1" applyAlignment="1">
      <alignment vertical="center"/>
    </xf>
    <xf numFmtId="183" fontId="27" fillId="0" borderId="31" xfId="17" applyNumberFormat="1" applyFont="1" applyBorder="1" applyAlignment="1">
      <alignment vertical="center"/>
    </xf>
    <xf numFmtId="38" fontId="27" fillId="0" borderId="29" xfId="17" applyFont="1" applyBorder="1" applyAlignment="1">
      <alignment vertical="center"/>
    </xf>
    <xf numFmtId="38" fontId="12" fillId="0" borderId="32" xfId="17" applyNumberFormat="1" applyFont="1" applyBorder="1" applyAlignment="1">
      <alignment vertical="center"/>
    </xf>
    <xf numFmtId="38" fontId="28" fillId="4" borderId="32" xfId="17" applyNumberFormat="1" applyFont="1" applyFill="1" applyBorder="1" applyAlignment="1">
      <alignment vertical="center"/>
    </xf>
    <xf numFmtId="184" fontId="27" fillId="0" borderId="33" xfId="17" applyNumberFormat="1" applyFont="1" applyBorder="1" applyAlignment="1">
      <alignment vertical="center"/>
    </xf>
    <xf numFmtId="183" fontId="27" fillId="0" borderId="33" xfId="17" applyNumberFormat="1" applyFont="1"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38" fontId="27" fillId="0" borderId="13" xfId="0" applyNumberFormat="1" applyFont="1" applyBorder="1" applyAlignment="1">
      <alignment vertical="center"/>
    </xf>
    <xf numFmtId="215" fontId="27" fillId="0" borderId="13" xfId="17" applyNumberFormat="1" applyFont="1" applyBorder="1" applyAlignment="1">
      <alignment vertical="center"/>
    </xf>
    <xf numFmtId="206" fontId="27" fillId="0" borderId="34" xfId="17" applyNumberFormat="1" applyFont="1" applyBorder="1" applyAlignment="1">
      <alignment vertical="center"/>
    </xf>
    <xf numFmtId="183" fontId="27" fillId="0" borderId="13" xfId="17" applyNumberFormat="1" applyFont="1" applyBorder="1" applyAlignment="1">
      <alignment vertical="center"/>
    </xf>
    <xf numFmtId="209" fontId="27" fillId="4" borderId="4" xfId="17" applyNumberFormat="1" applyFont="1" applyFill="1" applyBorder="1" applyAlignment="1">
      <alignment vertical="center"/>
    </xf>
    <xf numFmtId="206" fontId="28" fillId="4" borderId="34" xfId="17" applyNumberFormat="1" applyFont="1" applyFill="1" applyBorder="1" applyAlignment="1">
      <alignment vertical="center"/>
    </xf>
    <xf numFmtId="184" fontId="27" fillId="0" borderId="35" xfId="0" applyNumberFormat="1" applyFont="1" applyBorder="1" applyAlignment="1">
      <alignment vertical="center"/>
    </xf>
    <xf numFmtId="206" fontId="27" fillId="0" borderId="13" xfId="17" applyNumberFormat="1" applyFont="1" applyBorder="1" applyAlignment="1">
      <alignment vertical="center"/>
    </xf>
    <xf numFmtId="206" fontId="27" fillId="4" borderId="4" xfId="17" applyNumberFormat="1" applyFont="1" applyFill="1" applyBorder="1" applyAlignment="1">
      <alignment vertical="center"/>
    </xf>
    <xf numFmtId="183" fontId="27" fillId="0" borderId="35" xfId="0" applyNumberFormat="1" applyFont="1" applyBorder="1" applyAlignment="1">
      <alignment vertical="center"/>
    </xf>
    <xf numFmtId="0" fontId="27" fillId="0" borderId="0" xfId="0" applyFont="1" applyAlignment="1">
      <alignment vertical="center"/>
    </xf>
    <xf numFmtId="215" fontId="12" fillId="0" borderId="0" xfId="0" applyNumberFormat="1" applyFont="1" applyAlignment="1">
      <alignment vertical="center"/>
    </xf>
    <xf numFmtId="183" fontId="12" fillId="0" borderId="0" xfId="0" applyNumberFormat="1" applyFont="1" applyAlignment="1">
      <alignment vertical="center"/>
    </xf>
    <xf numFmtId="209" fontId="12" fillId="0" borderId="0" xfId="0" applyNumberFormat="1" applyFont="1" applyAlignment="1">
      <alignment vertical="center"/>
    </xf>
    <xf numFmtId="184" fontId="27" fillId="0" borderId="0" xfId="0" applyNumberFormat="1" applyFont="1" applyAlignment="1">
      <alignment vertical="center"/>
    </xf>
    <xf numFmtId="183" fontId="27" fillId="0" borderId="0" xfId="0" applyNumberFormat="1" applyFont="1" applyAlignment="1">
      <alignment vertical="center"/>
    </xf>
    <xf numFmtId="0" fontId="12" fillId="0" borderId="2" xfId="0" applyFont="1" applyBorder="1" applyAlignment="1">
      <alignment vertical="center"/>
    </xf>
    <xf numFmtId="206" fontId="12" fillId="0" borderId="3" xfId="0" applyNumberFormat="1" applyFont="1" applyBorder="1" applyAlignment="1">
      <alignment vertical="center"/>
    </xf>
    <xf numFmtId="215" fontId="12" fillId="0" borderId="3" xfId="0" applyNumberFormat="1" applyFont="1" applyBorder="1" applyAlignment="1">
      <alignment vertical="center"/>
    </xf>
    <xf numFmtId="183" fontId="12" fillId="0" borderId="3" xfId="0" applyNumberFormat="1" applyFont="1" applyBorder="1" applyAlignment="1">
      <alignment vertical="center"/>
    </xf>
    <xf numFmtId="209" fontId="12" fillId="4" borderId="28" xfId="0" applyNumberFormat="1" applyFont="1" applyFill="1" applyBorder="1" applyAlignment="1">
      <alignment vertical="center"/>
    </xf>
    <xf numFmtId="0" fontId="12" fillId="4" borderId="2" xfId="0" applyFont="1" applyFill="1" applyBorder="1" applyAlignment="1">
      <alignment vertical="center"/>
    </xf>
    <xf numFmtId="184" fontId="12" fillId="0" borderId="3" xfId="0" applyNumberFormat="1" applyFont="1" applyBorder="1" applyAlignment="1">
      <alignment vertical="center"/>
    </xf>
    <xf numFmtId="206" fontId="12" fillId="4" borderId="28" xfId="0" applyNumberFormat="1" applyFont="1" applyFill="1" applyBorder="1" applyAlignment="1">
      <alignment vertical="center"/>
    </xf>
    <xf numFmtId="215" fontId="12" fillId="0" borderId="3" xfId="17" applyNumberFormat="1" applyFont="1" applyBorder="1" applyAlignment="1">
      <alignment vertical="center"/>
    </xf>
    <xf numFmtId="183" fontId="12" fillId="0" borderId="3" xfId="17" applyNumberFormat="1" applyFont="1" applyBorder="1" applyAlignment="1">
      <alignment vertical="center"/>
    </xf>
    <xf numFmtId="209" fontId="12" fillId="4" borderId="28" xfId="17" applyNumberFormat="1" applyFont="1" applyFill="1" applyBorder="1" applyAlignment="1">
      <alignment vertical="center"/>
    </xf>
    <xf numFmtId="206" fontId="12" fillId="0" borderId="3" xfId="17" applyNumberFormat="1" applyFont="1" applyBorder="1" applyAlignment="1">
      <alignment vertical="center"/>
    </xf>
    <xf numFmtId="206" fontId="12" fillId="4" borderId="28" xfId="17" applyNumberFormat="1" applyFont="1" applyFill="1" applyBorder="1" applyAlignment="1">
      <alignment vertical="center"/>
    </xf>
    <xf numFmtId="206" fontId="12" fillId="0" borderId="4" xfId="0" applyNumberFormat="1" applyFont="1" applyBorder="1" applyAlignment="1">
      <alignment vertical="center"/>
    </xf>
    <xf numFmtId="215" fontId="12" fillId="0" borderId="13" xfId="17" applyNumberFormat="1" applyFont="1" applyBorder="1" applyAlignment="1">
      <alignment vertical="center"/>
    </xf>
    <xf numFmtId="0" fontId="12" fillId="0" borderId="14" xfId="0" applyFont="1" applyBorder="1" applyAlignment="1">
      <alignment vertical="center"/>
    </xf>
    <xf numFmtId="183" fontId="12" fillId="0" borderId="13" xfId="17" applyNumberFormat="1" applyFont="1" applyBorder="1" applyAlignment="1">
      <alignment vertical="center"/>
    </xf>
    <xf numFmtId="209" fontId="12" fillId="4" borderId="4" xfId="17" applyNumberFormat="1" applyFont="1" applyFill="1" applyBorder="1" applyAlignment="1">
      <alignment vertical="center"/>
    </xf>
    <xf numFmtId="0" fontId="12" fillId="4" borderId="14" xfId="0" applyFont="1" applyFill="1" applyBorder="1" applyAlignment="1">
      <alignment vertical="center"/>
    </xf>
    <xf numFmtId="184" fontId="12" fillId="0" borderId="4" xfId="0" applyNumberFormat="1" applyFont="1" applyBorder="1" applyAlignment="1">
      <alignment vertical="center"/>
    </xf>
    <xf numFmtId="206" fontId="12" fillId="0" borderId="13" xfId="17" applyNumberFormat="1" applyFont="1" applyBorder="1" applyAlignment="1">
      <alignment vertical="center"/>
    </xf>
    <xf numFmtId="206" fontId="12" fillId="4" borderId="4" xfId="17" applyNumberFormat="1" applyFont="1" applyFill="1" applyBorder="1" applyAlignment="1">
      <alignment vertical="center"/>
    </xf>
    <xf numFmtId="183" fontId="12" fillId="0" borderId="4" xfId="0" applyNumberFormat="1" applyFont="1" applyBorder="1" applyAlignment="1">
      <alignment vertical="center"/>
    </xf>
    <xf numFmtId="0" fontId="29" fillId="0" borderId="0" xfId="16" applyAlignment="1">
      <alignment vertical="center"/>
    </xf>
    <xf numFmtId="0" fontId="7" fillId="0" borderId="16" xfId="0" applyFont="1" applyBorder="1" applyAlignment="1">
      <alignment horizontal="center" vertical="center"/>
    </xf>
    <xf numFmtId="0" fontId="5" fillId="0" borderId="0" xfId="0" applyFont="1" applyAlignment="1">
      <alignment vertical="top" wrapText="1"/>
    </xf>
    <xf numFmtId="0" fontId="0" fillId="0" borderId="0" xfId="0" applyAlignment="1">
      <alignment vertical="top" wrapText="1"/>
    </xf>
    <xf numFmtId="0" fontId="12" fillId="0" borderId="3" xfId="0" applyFont="1" applyBorder="1" applyAlignment="1">
      <alignment vertical="center"/>
    </xf>
    <xf numFmtId="0" fontId="0" fillId="0" borderId="0" xfId="0" applyAlignment="1">
      <alignment vertical="center"/>
    </xf>
    <xf numFmtId="0" fontId="0" fillId="0" borderId="3" xfId="0" applyBorder="1" applyAlignment="1">
      <alignment vertical="center"/>
    </xf>
    <xf numFmtId="0" fontId="0" fillId="0" borderId="2" xfId="0" applyBorder="1" applyAlignment="1">
      <alignment vertical="center"/>
    </xf>
    <xf numFmtId="0" fontId="4" fillId="0" borderId="36"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186" fontId="4" fillId="0" borderId="37" xfId="0" applyNumberFormat="1"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4" fillId="0" borderId="41" xfId="0" applyFont="1" applyBorder="1" applyAlignment="1" applyProtection="1">
      <alignment horizontal="center"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12" fillId="0" borderId="2" xfId="0" applyFont="1" applyBorder="1" applyAlignment="1">
      <alignment vertical="center"/>
    </xf>
    <xf numFmtId="0" fontId="26" fillId="0" borderId="3" xfId="0" applyFont="1" applyBorder="1" applyAlignment="1">
      <alignment horizontal="center" vertical="center" shrinkToFit="1"/>
    </xf>
    <xf numFmtId="0" fontId="26" fillId="0" borderId="2" xfId="0" applyFont="1" applyBorder="1" applyAlignment="1">
      <alignment horizontal="center" vertical="center" shrinkToFit="1"/>
    </xf>
    <xf numFmtId="0" fontId="8" fillId="0" borderId="0" xfId="0" applyFont="1" applyAlignment="1">
      <alignment horizontal="distributed" vertical="center"/>
    </xf>
    <xf numFmtId="176" fontId="0" fillId="0" borderId="0" xfId="0" applyNumberFormat="1" applyAlignment="1" quotePrefix="1">
      <alignment horizontal="center" vertical="center" wrapText="1"/>
    </xf>
    <xf numFmtId="176" fontId="0" fillId="0" borderId="0" xfId="0" applyNumberFormat="1" applyAlignment="1">
      <alignment horizontal="center"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05"/>
        </c:manualLayout>
      </c:layout>
      <c:barChart>
        <c:barDir val="bar"/>
        <c:grouping val="stacked"/>
        <c:varyColors val="0"/>
        <c:ser>
          <c:idx val="0"/>
          <c:order val="0"/>
          <c:tx>
            <c:strRef>
              <c:f>'詳細・ｸﾞﾗﾌ'!$D$3</c:f>
              <c:strCache>
                <c:ptCount val="1"/>
                <c:pt idx="0">
                  <c:v>第１次間接効果</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'詳細・ｸﾞﾗﾌ'!$D$4:$D$35</c:f>
              <c:numCache>
                <c:ptCount val="32"/>
                <c:pt idx="0">
                  <c:v>381.2548765490523</c:v>
                </c:pt>
                <c:pt idx="1">
                  <c:v>2841.71187824542</c:v>
                </c:pt>
                <c:pt idx="2">
                  <c:v>42.77921583068313</c:v>
                </c:pt>
                <c:pt idx="3">
                  <c:v>102.02008450169173</c:v>
                </c:pt>
                <c:pt idx="4">
                  <c:v>3222.7324489045627</c:v>
                </c:pt>
                <c:pt idx="5">
                  <c:v>445.4845398881857</c:v>
                </c:pt>
                <c:pt idx="6">
                  <c:v>76.61870562093817</c:v>
                </c:pt>
                <c:pt idx="7">
                  <c:v>4049.3775787529266</c:v>
                </c:pt>
                <c:pt idx="8">
                  <c:v>83.92414145110872</c:v>
                </c:pt>
                <c:pt idx="9">
                  <c:v>165.6475285798852</c:v>
                </c:pt>
                <c:pt idx="10">
                  <c:v>7262.658318489207</c:v>
                </c:pt>
                <c:pt idx="11">
                  <c:v>232.38246298216646</c:v>
                </c:pt>
                <c:pt idx="12">
                  <c:v>3133.8554764892115</c:v>
                </c:pt>
                <c:pt idx="13">
                  <c:v>461.6376753072178</c:v>
                </c:pt>
                <c:pt idx="14">
                  <c:v>6.97850429884989</c:v>
                </c:pt>
                <c:pt idx="15">
                  <c:v>2908.8854805529418</c:v>
                </c:pt>
                <c:pt idx="16">
                  <c:v>274970.17026695056</c:v>
                </c:pt>
                <c:pt idx="17">
                  <c:v>3180.7065838876883</c:v>
                </c:pt>
                <c:pt idx="18">
                  <c:v>837.325252490528</c:v>
                </c:pt>
                <c:pt idx="19">
                  <c:v>17212.220937607988</c:v>
                </c:pt>
                <c:pt idx="20">
                  <c:v>8096.617809477327</c:v>
                </c:pt>
                <c:pt idx="21">
                  <c:v>1463.783882342292</c:v>
                </c:pt>
                <c:pt idx="22">
                  <c:v>7292.949485469403</c:v>
                </c:pt>
                <c:pt idx="23">
                  <c:v>3367.8398858319324</c:v>
                </c:pt>
                <c:pt idx="24">
                  <c:v>924.9439400272176</c:v>
                </c:pt>
                <c:pt idx="25">
                  <c:v>1236.406879608491</c:v>
                </c:pt>
                <c:pt idx="26">
                  <c:v>874.2159665071545</c:v>
                </c:pt>
                <c:pt idx="27">
                  <c:v>484.8942827073085</c:v>
                </c:pt>
                <c:pt idx="28">
                  <c:v>26693.598038612865</c:v>
                </c:pt>
                <c:pt idx="29">
                  <c:v>360.73786061471907</c:v>
                </c:pt>
                <c:pt idx="30">
                  <c:v>407.6913748905309</c:v>
                </c:pt>
                <c:pt idx="31">
                  <c:v>4191.739463382947</c:v>
                </c:pt>
              </c:numCache>
            </c:numRef>
          </c:val>
        </c:ser>
        <c:ser>
          <c:idx val="1"/>
          <c:order val="1"/>
          <c:tx>
            <c:strRef>
              <c:f>'詳細・ｸﾞﾗﾌ'!$F$3</c:f>
              <c:strCache>
                <c:ptCount val="1"/>
                <c:pt idx="0">
                  <c:v>第２次間接効果</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'詳細・ｸﾞﾗﾌ'!$F$4:$F$35</c:f>
              <c:numCache>
                <c:ptCount val="32"/>
                <c:pt idx="0">
                  <c:v>1778.441103774182</c:v>
                </c:pt>
                <c:pt idx="1">
                  <c:v>81.4484844574582</c:v>
                </c:pt>
                <c:pt idx="2">
                  <c:v>7882.429054074684</c:v>
                </c:pt>
                <c:pt idx="3">
                  <c:v>1089.859863454682</c:v>
                </c:pt>
                <c:pt idx="4">
                  <c:v>1154.419688499942</c:v>
                </c:pt>
                <c:pt idx="5">
                  <c:v>1325.7324693909213</c:v>
                </c:pt>
                <c:pt idx="6">
                  <c:v>67.52749514261377</c:v>
                </c:pt>
                <c:pt idx="7">
                  <c:v>219.94038047580193</c:v>
                </c:pt>
                <c:pt idx="8">
                  <c:v>6.0839570800805545</c:v>
                </c:pt>
                <c:pt idx="9">
                  <c:v>24.484107141606025</c:v>
                </c:pt>
                <c:pt idx="10">
                  <c:v>465.96975121832105</c:v>
                </c:pt>
                <c:pt idx="11">
                  <c:v>60.28489696032175</c:v>
                </c:pt>
                <c:pt idx="12">
                  <c:v>6025.117489092298</c:v>
                </c:pt>
                <c:pt idx="13">
                  <c:v>2771.147253625247</c:v>
                </c:pt>
                <c:pt idx="14">
                  <c:v>149.3315070907219</c:v>
                </c:pt>
                <c:pt idx="15">
                  <c:v>3352.691154994142</c:v>
                </c:pt>
                <c:pt idx="16">
                  <c:v>4000.3391116111598</c:v>
                </c:pt>
                <c:pt idx="17">
                  <c:v>12622.029307319655</c:v>
                </c:pt>
                <c:pt idx="18">
                  <c:v>2997.2873451644186</c:v>
                </c:pt>
                <c:pt idx="19">
                  <c:v>44505.62629974712</c:v>
                </c:pt>
                <c:pt idx="20">
                  <c:v>21171.58255732487</c:v>
                </c:pt>
                <c:pt idx="21">
                  <c:v>54586.81350582187</c:v>
                </c:pt>
                <c:pt idx="22">
                  <c:v>14541.272790677789</c:v>
                </c:pt>
                <c:pt idx="23">
                  <c:v>14236.443805263</c:v>
                </c:pt>
                <c:pt idx="24">
                  <c:v>1232.4527863121707</c:v>
                </c:pt>
                <c:pt idx="25">
                  <c:v>9049.501624106064</c:v>
                </c:pt>
                <c:pt idx="26">
                  <c:v>10679.817713512653</c:v>
                </c:pt>
                <c:pt idx="27">
                  <c:v>6787.8269528787905</c:v>
                </c:pt>
                <c:pt idx="28">
                  <c:v>21028.63315328712</c:v>
                </c:pt>
                <c:pt idx="29">
                  <c:v>23247.04401970186</c:v>
                </c:pt>
                <c:pt idx="30">
                  <c:v>606.8970285251996</c:v>
                </c:pt>
                <c:pt idx="31">
                  <c:v>1420.9375282290093</c:v>
                </c:pt>
              </c:numCache>
            </c:numRef>
          </c:val>
        </c:ser>
        <c:overlap val="100"/>
        <c:axId val="4593132"/>
        <c:axId val="41338189"/>
      </c:barChart>
      <c:catAx>
        <c:axId val="4593132"/>
        <c:scaling>
          <c:orientation val="maxMin"/>
        </c:scaling>
        <c:axPos val="l"/>
        <c:delete val="0"/>
        <c:numFmt formatCode="General" sourceLinked="1"/>
        <c:majorTickMark val="in"/>
        <c:minorTickMark val="none"/>
        <c:tickLblPos val="nextTo"/>
        <c:txPr>
          <a:bodyPr/>
          <a:lstStyle/>
          <a:p>
            <a:pPr>
              <a:defRPr lang="en-US" cap="none" sz="825" b="0" i="0" u="none" baseline="0"/>
            </a:pPr>
          </a:p>
        </c:txPr>
        <c:crossAx val="41338189"/>
        <c:crosses val="autoZero"/>
        <c:auto val="1"/>
        <c:lblOffset val="100"/>
        <c:noMultiLvlLbl val="0"/>
      </c:catAx>
      <c:valAx>
        <c:axId val="41338189"/>
        <c:scaling>
          <c:orientation val="minMax"/>
        </c:scaling>
        <c:axPos val="t"/>
        <c:majorGridlines/>
        <c:delete val="0"/>
        <c:numFmt formatCode="#,##0;[Red](#,##0)" sourceLinked="0"/>
        <c:majorTickMark val="in"/>
        <c:minorTickMark val="none"/>
        <c:tickLblPos val="nextTo"/>
        <c:txPr>
          <a:bodyPr/>
          <a:lstStyle/>
          <a:p>
            <a:pPr>
              <a:defRPr lang="en-US" cap="none" sz="825" b="0" i="0" u="none" baseline="0"/>
            </a:pPr>
          </a:p>
        </c:txPr>
        <c:crossAx val="4593132"/>
        <c:crossesAt val="1"/>
        <c:crossBetween val="between"/>
        <c:dispUnits/>
      </c:valAx>
      <c:spPr>
        <a:solidFill>
          <a:srgbClr val="CCFFFF"/>
        </a:solidFill>
        <a:ln w="12700">
          <a:solidFill>
            <a:srgbClr val="808080"/>
          </a:solidFill>
        </a:ln>
      </c:spPr>
    </c:plotArea>
    <c:legend>
      <c:legendPos val="b"/>
      <c:layout>
        <c:manualLayout>
          <c:xMode val="edge"/>
          <c:yMode val="edge"/>
          <c:x val="0.136"/>
          <c:y val="0.967"/>
          <c:w val="0.62125"/>
          <c:h val="0.033"/>
        </c:manualLayout>
      </c:layout>
      <c:overlay val="0"/>
      <c:txPr>
        <a:bodyPr vert="horz" rot="0"/>
        <a:lstStyle/>
        <a:p>
          <a:pPr>
            <a:defRPr lang="en-US" cap="none" sz="1200" b="0" i="0" u="none" baseline="0">
              <a:latin typeface="ＭＳ 明朝"/>
              <a:ea typeface="ＭＳ 明朝"/>
              <a:cs typeface="ＭＳ 明朝"/>
            </a:defRPr>
          </a:pPr>
        </a:p>
      </c:txPr>
    </c:legend>
    <c:plotVisOnly val="1"/>
    <c:dispBlanksAs val="gap"/>
    <c:showDLblsOverMax val="0"/>
  </c:chart>
  <c:txPr>
    <a:bodyPr vert="horz" rot="0"/>
    <a:lstStyle/>
    <a:p>
      <a:pPr>
        <a:defRPr lang="en-US" cap="none" sz="155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05"/>
        </c:manualLayout>
      </c:layout>
      <c:barChart>
        <c:barDir val="bar"/>
        <c:grouping val="stacked"/>
        <c:varyColors val="0"/>
        <c:ser>
          <c:idx val="0"/>
          <c:order val="0"/>
          <c:tx>
            <c:strRef>
              <c:f>'詳細・ｸﾞﾗﾌ'!$N$3</c:f>
              <c:strCache>
                <c:ptCount val="1"/>
                <c:pt idx="0">
                  <c:v>第１次間接効果</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'詳細・ｸﾞﾗﾌ'!$N$4:$N$35</c:f>
              <c:numCache>
                <c:ptCount val="32"/>
                <c:pt idx="0">
                  <c:v>181.35471263461332</c:v>
                </c:pt>
                <c:pt idx="1">
                  <c:v>1487.2967831406045</c:v>
                </c:pt>
                <c:pt idx="2">
                  <c:v>16.12732662595881</c:v>
                </c:pt>
                <c:pt idx="3">
                  <c:v>34.43456164626747</c:v>
                </c:pt>
                <c:pt idx="4">
                  <c:v>1042.085183505124</c:v>
                </c:pt>
                <c:pt idx="5">
                  <c:v>149.2782259917074</c:v>
                </c:pt>
                <c:pt idx="6">
                  <c:v>24.059366731359763</c:v>
                </c:pt>
                <c:pt idx="7">
                  <c:v>1345.4658009498178</c:v>
                </c:pt>
                <c:pt idx="8">
                  <c:v>28.23390336968608</c:v>
                </c:pt>
                <c:pt idx="9">
                  <c:v>55.66035290067893</c:v>
                </c:pt>
                <c:pt idx="10">
                  <c:v>2595.8512524661483</c:v>
                </c:pt>
                <c:pt idx="11">
                  <c:v>83.57595321820067</c:v>
                </c:pt>
                <c:pt idx="12">
                  <c:v>1078.5617443863741</c:v>
                </c:pt>
                <c:pt idx="13">
                  <c:v>133.48718071901996</c:v>
                </c:pt>
                <c:pt idx="14">
                  <c:v>2.8608231702210296</c:v>
                </c:pt>
                <c:pt idx="15">
                  <c:v>1198.3292546050939</c:v>
                </c:pt>
                <c:pt idx="16">
                  <c:v>125453.22107044134</c:v>
                </c:pt>
                <c:pt idx="17">
                  <c:v>1986.8606430822074</c:v>
                </c:pt>
                <c:pt idx="18">
                  <c:v>566.7430885600453</c:v>
                </c:pt>
                <c:pt idx="19">
                  <c:v>11618.560713145314</c:v>
                </c:pt>
                <c:pt idx="20">
                  <c:v>5397.159801453279</c:v>
                </c:pt>
                <c:pt idx="21">
                  <c:v>1234.0509304478105</c:v>
                </c:pt>
                <c:pt idx="22">
                  <c:v>4859.725014827347</c:v>
                </c:pt>
                <c:pt idx="23">
                  <c:v>2533.5242096652983</c:v>
                </c:pt>
                <c:pt idx="24">
                  <c:v>653.164173095001</c:v>
                </c:pt>
                <c:pt idx="25">
                  <c:v>769.677476771696</c:v>
                </c:pt>
                <c:pt idx="26">
                  <c:v>504.9260125400609</c:v>
                </c:pt>
                <c:pt idx="27">
                  <c:v>294.36741984426703</c:v>
                </c:pt>
                <c:pt idx="28">
                  <c:v>16224.442663775402</c:v>
                </c:pt>
                <c:pt idx="29">
                  <c:v>211.41227385038684</c:v>
                </c:pt>
                <c:pt idx="30">
                  <c:v>0</c:v>
                </c:pt>
                <c:pt idx="31">
                  <c:v>1190.016195999122</c:v>
                </c:pt>
              </c:numCache>
            </c:numRef>
          </c:val>
        </c:ser>
        <c:ser>
          <c:idx val="1"/>
          <c:order val="1"/>
          <c:tx>
            <c:strRef>
              <c:f>'詳細・ｸﾞﾗﾌ'!$P$3</c:f>
              <c:strCache>
                <c:ptCount val="1"/>
                <c:pt idx="0">
                  <c:v>第２次間接効果</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'詳細・ｸﾞﾗﾌ'!$P$4:$P$35</c:f>
              <c:numCache>
                <c:ptCount val="32"/>
                <c:pt idx="0">
                  <c:v>845.9660325710082</c:v>
                </c:pt>
                <c:pt idx="1">
                  <c:v>42.628554236135415</c:v>
                </c:pt>
                <c:pt idx="2">
                  <c:v>2971.5950957154314</c:v>
                </c:pt>
                <c:pt idx="3">
                  <c:v>367.8574354964446</c:v>
                </c:pt>
                <c:pt idx="4">
                  <c:v>373.28685269585515</c:v>
                </c:pt>
                <c:pt idx="5">
                  <c:v>444.24210819965793</c:v>
                </c:pt>
                <c:pt idx="6">
                  <c:v>21.204596931252176</c:v>
                </c:pt>
                <c:pt idx="7">
                  <c:v>73.07845574361497</c:v>
                </c:pt>
                <c:pt idx="8">
                  <c:v>2.046775258396672</c:v>
                </c:pt>
                <c:pt idx="9">
                  <c:v>8.227071394564172</c:v>
                </c:pt>
                <c:pt idx="10">
                  <c:v>166.54895621787136</c:v>
                </c:pt>
                <c:pt idx="11">
                  <c:v>21.681359528866658</c:v>
                </c:pt>
                <c:pt idx="12">
                  <c:v>2073.631435119121</c:v>
                </c:pt>
                <c:pt idx="13">
                  <c:v>801.305123108754</c:v>
                </c:pt>
                <c:pt idx="14">
                  <c:v>61.21813747389549</c:v>
                </c:pt>
                <c:pt idx="15">
                  <c:v>1381.1571199844975</c:v>
                </c:pt>
                <c:pt idx="16">
                  <c:v>1825.126799894218</c:v>
                </c:pt>
                <c:pt idx="17">
                  <c:v>7884.478685830618</c:v>
                </c:pt>
                <c:pt idx="18">
                  <c:v>2028.7121190336218</c:v>
                </c:pt>
                <c:pt idx="19">
                  <c:v>30042.1034051652</c:v>
                </c:pt>
                <c:pt idx="20">
                  <c:v>14112.857615409614</c:v>
                </c:pt>
                <c:pt idx="21">
                  <c:v>46019.708790104305</c:v>
                </c:pt>
                <c:pt idx="22">
                  <c:v>9689.712957573945</c:v>
                </c:pt>
                <c:pt idx="23">
                  <c:v>10709.646617081873</c:v>
                </c:pt>
                <c:pt idx="24">
                  <c:v>870.3165351043124</c:v>
                </c:pt>
                <c:pt idx="25">
                  <c:v>5633.418651220101</c:v>
                </c:pt>
                <c:pt idx="26">
                  <c:v>6168.4045811745345</c:v>
                </c:pt>
                <c:pt idx="27">
                  <c:v>4120.723171476127</c:v>
                </c:pt>
                <c:pt idx="28">
                  <c:v>12781.2613496147</c:v>
                </c:pt>
                <c:pt idx="29">
                  <c:v>13624.049408427061</c:v>
                </c:pt>
                <c:pt idx="30">
                  <c:v>0</c:v>
                </c:pt>
                <c:pt idx="31">
                  <c:v>403.39784637540595</c:v>
                </c:pt>
              </c:numCache>
            </c:numRef>
          </c:val>
        </c:ser>
        <c:overlap val="100"/>
        <c:axId val="36499382"/>
        <c:axId val="60058983"/>
      </c:barChart>
      <c:catAx>
        <c:axId val="36499382"/>
        <c:scaling>
          <c:orientation val="maxMin"/>
        </c:scaling>
        <c:axPos val="l"/>
        <c:delete val="0"/>
        <c:numFmt formatCode="General" sourceLinked="1"/>
        <c:majorTickMark val="in"/>
        <c:minorTickMark val="none"/>
        <c:tickLblPos val="nextTo"/>
        <c:txPr>
          <a:bodyPr/>
          <a:lstStyle/>
          <a:p>
            <a:pPr>
              <a:defRPr lang="en-US" cap="none" sz="800" b="0" i="0" u="none" baseline="0"/>
            </a:pPr>
          </a:p>
        </c:txPr>
        <c:crossAx val="60058983"/>
        <c:crosses val="autoZero"/>
        <c:auto val="1"/>
        <c:lblOffset val="100"/>
        <c:noMultiLvlLbl val="0"/>
      </c:catAx>
      <c:valAx>
        <c:axId val="60058983"/>
        <c:scaling>
          <c:orientation val="minMax"/>
        </c:scaling>
        <c:axPos val="t"/>
        <c:majorGridlines/>
        <c:delete val="1"/>
        <c:majorTickMark val="in"/>
        <c:minorTickMark val="none"/>
        <c:tickLblPos val="nextTo"/>
        <c:txPr>
          <a:bodyPr/>
          <a:lstStyle/>
          <a:p>
            <a:pPr>
              <a:defRPr lang="en-US" cap="none" sz="800" b="0" i="0" u="none" baseline="0"/>
            </a:pPr>
          </a:p>
        </c:txPr>
        <c:crossAx val="36499382"/>
        <c:crossesAt val="1"/>
        <c:crossBetween val="between"/>
        <c:dispUnits/>
      </c:valAx>
      <c:spPr>
        <a:solidFill>
          <a:srgbClr val="CCFFFF"/>
        </a:solidFill>
        <a:ln w="12700">
          <a:solidFill>
            <a:srgbClr val="808080"/>
          </a:solidFill>
        </a:ln>
      </c:spPr>
    </c:plotArea>
    <c:legend>
      <c:legendPos val="b"/>
      <c:layout>
        <c:manualLayout>
          <c:xMode val="edge"/>
          <c:yMode val="edge"/>
          <c:x val="0.128"/>
          <c:y val="0.967"/>
          <c:w val="0.6325"/>
          <c:h val="0.033"/>
        </c:manualLayout>
      </c:layout>
      <c:overlay val="0"/>
      <c:txPr>
        <a:bodyPr vert="horz" rot="0"/>
        <a:lstStyle/>
        <a:p>
          <a:pPr>
            <a:defRPr lang="en-US" cap="none" sz="1200" b="0" i="0" u="none" baseline="0">
              <a:latin typeface="ＭＳ 明朝"/>
              <a:ea typeface="ＭＳ 明朝"/>
              <a:cs typeface="ＭＳ 明朝"/>
            </a:defRPr>
          </a:pPr>
        </a:p>
      </c:txPr>
    </c:legend>
    <c:plotVisOnly val="1"/>
    <c:dispBlanksAs val="gap"/>
    <c:showDLblsOverMax val="0"/>
  </c:chart>
  <c:txPr>
    <a:bodyPr vert="horz" rot="0"/>
    <a:lstStyle/>
    <a:p>
      <a:pPr>
        <a:defRPr lang="en-US" cap="none" sz="1525" b="0" i="0" u="none" baseline="0">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
        </c:manualLayout>
      </c:layout>
      <c:barChart>
        <c:barDir val="bar"/>
        <c:grouping val="stacked"/>
        <c:varyColors val="0"/>
        <c:ser>
          <c:idx val="0"/>
          <c:order val="0"/>
          <c:tx>
            <c:strRef>
              <c:f>'詳細・ｸﾞﾗﾌ'!$X$3</c:f>
              <c:strCache>
                <c:ptCount val="1"/>
                <c:pt idx="0">
                  <c:v>第１次間接効果</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'詳細・ｸﾞﾗﾌ'!$X$4:$X$35</c:f>
              <c:numCache>
                <c:ptCount val="32"/>
                <c:pt idx="0">
                  <c:v>28.011071454120344</c:v>
                </c:pt>
                <c:pt idx="1">
                  <c:v>532.6851913474211</c:v>
                </c:pt>
                <c:pt idx="2">
                  <c:v>4.982910326684517</c:v>
                </c:pt>
                <c:pt idx="3">
                  <c:v>22.316222543738075</c:v>
                </c:pt>
                <c:pt idx="4">
                  <c:v>602.9043354810069</c:v>
                </c:pt>
                <c:pt idx="5">
                  <c:v>64.66657547566432</c:v>
                </c:pt>
                <c:pt idx="6">
                  <c:v>9.070425926846948</c:v>
                </c:pt>
                <c:pt idx="7">
                  <c:v>772.2285167085282</c:v>
                </c:pt>
                <c:pt idx="8">
                  <c:v>15.06551087364709</c:v>
                </c:pt>
                <c:pt idx="9">
                  <c:v>25.832718928372397</c:v>
                </c:pt>
                <c:pt idx="10">
                  <c:v>1560.36799466471</c:v>
                </c:pt>
                <c:pt idx="11">
                  <c:v>45.319581174580954</c:v>
                </c:pt>
                <c:pt idx="12">
                  <c:v>463.82584145933316</c:v>
                </c:pt>
                <c:pt idx="13">
                  <c:v>80.67103376011542</c:v>
                </c:pt>
                <c:pt idx="14">
                  <c:v>1.4874996255066626</c:v>
                </c:pt>
                <c:pt idx="15">
                  <c:v>701.2137393210506</c:v>
                </c:pt>
                <c:pt idx="16">
                  <c:v>74097.76647551225</c:v>
                </c:pt>
                <c:pt idx="17">
                  <c:v>413.18122754539917</c:v>
                </c:pt>
                <c:pt idx="18">
                  <c:v>340.380899712746</c:v>
                </c:pt>
                <c:pt idx="19">
                  <c:v>6881.186356146835</c:v>
                </c:pt>
                <c:pt idx="20">
                  <c:v>3525.292429301498</c:v>
                </c:pt>
                <c:pt idx="21">
                  <c:v>47.4291801356914</c:v>
                </c:pt>
                <c:pt idx="22">
                  <c:v>3334.2721355286058</c:v>
                </c:pt>
                <c:pt idx="23">
                  <c:v>1302.0364394334497</c:v>
                </c:pt>
                <c:pt idx="24">
                  <c:v>611.9776948024436</c:v>
                </c:pt>
                <c:pt idx="25">
                  <c:v>688.7163493083335</c:v>
                </c:pt>
                <c:pt idx="26">
                  <c:v>381.5772489089364</c:v>
                </c:pt>
                <c:pt idx="27">
                  <c:v>238.16079998443246</c:v>
                </c:pt>
                <c:pt idx="28">
                  <c:v>8827.353776002928</c:v>
                </c:pt>
                <c:pt idx="29">
                  <c:v>106.8033891943809</c:v>
                </c:pt>
                <c:pt idx="30">
                  <c:v>0</c:v>
                </c:pt>
                <c:pt idx="31">
                  <c:v>543.2906128353316</c:v>
                </c:pt>
              </c:numCache>
            </c:numRef>
          </c:val>
        </c:ser>
        <c:ser>
          <c:idx val="1"/>
          <c:order val="1"/>
          <c:tx>
            <c:strRef>
              <c:f>'詳細・ｸﾞﾗﾌ'!$Z$3</c:f>
              <c:strCache>
                <c:ptCount val="1"/>
                <c:pt idx="0">
                  <c:v>第２次間接効果</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'詳細・ｸﾞﾗﾌ'!$Z$4:$Z$35</c:f>
              <c:numCache>
                <c:ptCount val="32"/>
                <c:pt idx="0">
                  <c:v>130.66335383215466</c:v>
                </c:pt>
                <c:pt idx="1">
                  <c:v>15.267698974101126</c:v>
                </c:pt>
                <c:pt idx="2">
                  <c:v>918.1429900062664</c:v>
                </c:pt>
                <c:pt idx="3">
                  <c:v>238.399677604064</c:v>
                </c:pt>
                <c:pt idx="4">
                  <c:v>215.96724090385692</c:v>
                </c:pt>
                <c:pt idx="5">
                  <c:v>192.44344329867158</c:v>
                </c:pt>
                <c:pt idx="6">
                  <c:v>7.994172411980972</c:v>
                </c:pt>
                <c:pt idx="7">
                  <c:v>41.94329387071981</c:v>
                </c:pt>
                <c:pt idx="8">
                  <c:v>1.0921520311071935</c:v>
                </c:pt>
                <c:pt idx="9">
                  <c:v>3.8182945645110458</c:v>
                </c:pt>
                <c:pt idx="10">
                  <c:v>100.11269350672069</c:v>
                </c:pt>
                <c:pt idx="11">
                  <c:v>11.756852244070657</c:v>
                </c:pt>
                <c:pt idx="12">
                  <c:v>891.7466712282195</c:v>
                </c:pt>
                <c:pt idx="13">
                  <c:v>484.25708214278876</c:v>
                </c:pt>
                <c:pt idx="14">
                  <c:v>31.83068339019339</c:v>
                </c:pt>
                <c:pt idx="15">
                  <c:v>808.1972003707648</c:v>
                </c:pt>
                <c:pt idx="16">
                  <c:v>1077.9939985026404</c:v>
                </c:pt>
                <c:pt idx="17">
                  <c:v>1639.6311403669192</c:v>
                </c:pt>
                <c:pt idx="18">
                  <c:v>1218.4266032944392</c:v>
                </c:pt>
                <c:pt idx="19">
                  <c:v>17792.678212516017</c:v>
                </c:pt>
                <c:pt idx="20">
                  <c:v>9218.172508810454</c:v>
                </c:pt>
                <c:pt idx="21">
                  <c:v>1768.7090574178098</c:v>
                </c:pt>
                <c:pt idx="22">
                  <c:v>6648.141575322674</c:v>
                </c:pt>
                <c:pt idx="23">
                  <c:v>5503.93404400819</c:v>
                </c:pt>
                <c:pt idx="24">
                  <c:v>815.4371118945616</c:v>
                </c:pt>
                <c:pt idx="25">
                  <c:v>5040.8484653431415</c:v>
                </c:pt>
                <c:pt idx="26">
                  <c:v>4661.520285717334</c:v>
                </c:pt>
                <c:pt idx="27">
                  <c:v>3333.9108232573503</c:v>
                </c:pt>
                <c:pt idx="28">
                  <c:v>6953.9963852507135</c:v>
                </c:pt>
                <c:pt idx="29">
                  <c:v>6882.734974987583</c:v>
                </c:pt>
                <c:pt idx="30">
                  <c:v>0</c:v>
                </c:pt>
                <c:pt idx="31">
                  <c:v>184.16746251906386</c:v>
                </c:pt>
              </c:numCache>
            </c:numRef>
          </c:val>
        </c:ser>
        <c:overlap val="100"/>
        <c:axId val="3659936"/>
        <c:axId val="32939425"/>
      </c:barChart>
      <c:catAx>
        <c:axId val="3659936"/>
        <c:scaling>
          <c:orientation val="maxMin"/>
        </c:scaling>
        <c:axPos val="l"/>
        <c:delete val="0"/>
        <c:numFmt formatCode="General" sourceLinked="1"/>
        <c:majorTickMark val="in"/>
        <c:minorTickMark val="none"/>
        <c:tickLblPos val="nextTo"/>
        <c:txPr>
          <a:bodyPr/>
          <a:lstStyle/>
          <a:p>
            <a:pPr>
              <a:defRPr lang="en-US" cap="none" sz="800" b="0" i="0" u="none" baseline="0"/>
            </a:pPr>
          </a:p>
        </c:txPr>
        <c:crossAx val="32939425"/>
        <c:crosses val="autoZero"/>
        <c:auto val="1"/>
        <c:lblOffset val="100"/>
        <c:noMultiLvlLbl val="0"/>
      </c:catAx>
      <c:valAx>
        <c:axId val="32939425"/>
        <c:scaling>
          <c:orientation val="minMax"/>
        </c:scaling>
        <c:axPos val="t"/>
        <c:majorGridlines/>
        <c:delete val="1"/>
        <c:majorTickMark val="in"/>
        <c:minorTickMark val="none"/>
        <c:tickLblPos val="nextTo"/>
        <c:txPr>
          <a:bodyPr/>
          <a:lstStyle/>
          <a:p>
            <a:pPr>
              <a:defRPr lang="en-US" cap="none" sz="800" b="0" i="0" u="none" baseline="0"/>
            </a:pPr>
          </a:p>
        </c:txPr>
        <c:crossAx val="3659936"/>
        <c:crossesAt val="1"/>
        <c:crossBetween val="between"/>
        <c:dispUnits/>
      </c:valAx>
      <c:spPr>
        <a:solidFill>
          <a:srgbClr val="CCFFFF"/>
        </a:solidFill>
        <a:ln w="12700">
          <a:solidFill>
            <a:srgbClr val="808080"/>
          </a:solidFill>
        </a:ln>
      </c:spPr>
    </c:plotArea>
    <c:legend>
      <c:legendPos val="b"/>
      <c:layout>
        <c:manualLayout>
          <c:xMode val="edge"/>
          <c:yMode val="edge"/>
          <c:x val="0.13375"/>
          <c:y val="0.967"/>
          <c:w val="0.6315"/>
          <c:h val="0.033"/>
        </c:manualLayout>
      </c:layout>
      <c:overlay val="0"/>
      <c:txPr>
        <a:bodyPr vert="horz" rot="0"/>
        <a:lstStyle/>
        <a:p>
          <a:pPr>
            <a:defRPr lang="en-US" cap="none" sz="1200" b="0" i="0" u="none" baseline="0">
              <a:latin typeface="ＭＳ 明朝"/>
              <a:ea typeface="ＭＳ 明朝"/>
              <a:cs typeface="ＭＳ 明朝"/>
            </a:defRPr>
          </a:pPr>
        </a:p>
      </c:txPr>
    </c:legend>
    <c:plotVisOnly val="1"/>
    <c:dispBlanksAs val="gap"/>
    <c:showDLblsOverMax val="0"/>
  </c:chart>
  <c:txPr>
    <a:bodyPr vert="horz" rot="0"/>
    <a:lstStyle/>
    <a:p>
      <a:pPr>
        <a:defRPr lang="en-US" cap="none" sz="1525" b="0" i="0" u="none" baseline="0">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bar"/>
        <c:grouping val="stacked"/>
        <c:varyColors val="0"/>
        <c:ser>
          <c:idx val="2"/>
          <c:order val="0"/>
          <c:tx>
            <c:v>直接効果</c:v>
          </c:tx>
          <c:invertIfNegative val="0"/>
          <c:extLst>
            <c:ext xmlns:c14="http://schemas.microsoft.com/office/drawing/2007/8/2/chart" uri="{6F2FDCE9-48DA-4B69-8628-5D25D57E5C99}">
              <c14:invertSolidFillFmt>
                <c14:spPr>
                  <a:solidFill>
                    <a:srgbClr val="000000"/>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'詳細・ｸﾞﾗﾌ'!$C$4:$C$35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1000000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overlap val="100"/>
        <c:axId val="28019370"/>
        <c:axId val="50847739"/>
      </c:barChart>
      <c:catAx>
        <c:axId val="28019370"/>
        <c:scaling>
          <c:orientation val="maxMin"/>
        </c:scaling>
        <c:axPos val="l"/>
        <c:delete val="0"/>
        <c:numFmt formatCode="General" sourceLinked="1"/>
        <c:majorTickMark val="in"/>
        <c:minorTickMark val="none"/>
        <c:tickLblPos val="nextTo"/>
        <c:txPr>
          <a:bodyPr/>
          <a:lstStyle/>
          <a:p>
            <a:pPr>
              <a:defRPr lang="en-US" cap="none" sz="825" b="0" i="0" u="none" baseline="0"/>
            </a:pPr>
          </a:p>
        </c:txPr>
        <c:crossAx val="50847739"/>
        <c:crosses val="autoZero"/>
        <c:auto val="1"/>
        <c:lblOffset val="100"/>
        <c:noMultiLvlLbl val="0"/>
      </c:catAx>
      <c:valAx>
        <c:axId val="50847739"/>
        <c:scaling>
          <c:orientation val="minMax"/>
        </c:scaling>
        <c:axPos val="t"/>
        <c:majorGridlines/>
        <c:delete val="0"/>
        <c:numFmt formatCode="General" sourceLinked="1"/>
        <c:majorTickMark val="in"/>
        <c:minorTickMark val="none"/>
        <c:tickLblPos val="nextTo"/>
        <c:txPr>
          <a:bodyPr/>
          <a:lstStyle/>
          <a:p>
            <a:pPr>
              <a:defRPr lang="en-US" cap="none" sz="825" b="0" i="0" u="none" baseline="0"/>
            </a:pPr>
          </a:p>
        </c:txPr>
        <c:crossAx val="28019370"/>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1550"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bar"/>
        <c:grouping val="stacked"/>
        <c:varyColors val="0"/>
        <c:ser>
          <c:idx val="2"/>
          <c:order val="0"/>
          <c:tx>
            <c:v>直接効果</c:v>
          </c:tx>
          <c:invertIfNegative val="0"/>
          <c:extLst>
            <c:ext xmlns:c14="http://schemas.microsoft.com/office/drawing/2007/8/2/chart" uri="{6F2FDCE9-48DA-4B69-8628-5D25D57E5C99}">
              <c14:invertSolidFillFmt>
                <c14:spPr>
                  <a:solidFill>
                    <a:srgbClr val="000000"/>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'詳細・ｸﾞﾗﾌ'!$M$4:$M$35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456243.0206471015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overlap val="100"/>
        <c:axId val="54976468"/>
        <c:axId val="25026165"/>
      </c:barChart>
      <c:catAx>
        <c:axId val="54976468"/>
        <c:scaling>
          <c:orientation val="maxMin"/>
        </c:scaling>
        <c:axPos val="l"/>
        <c:delete val="0"/>
        <c:numFmt formatCode="General" sourceLinked="1"/>
        <c:majorTickMark val="in"/>
        <c:minorTickMark val="none"/>
        <c:tickLblPos val="nextTo"/>
        <c:txPr>
          <a:bodyPr/>
          <a:lstStyle/>
          <a:p>
            <a:pPr>
              <a:defRPr lang="en-US" cap="none" sz="800" b="0" i="0" u="none" baseline="0"/>
            </a:pPr>
          </a:p>
        </c:txPr>
        <c:crossAx val="25026165"/>
        <c:crosses val="autoZero"/>
        <c:auto val="1"/>
        <c:lblOffset val="100"/>
        <c:noMultiLvlLbl val="0"/>
      </c:catAx>
      <c:valAx>
        <c:axId val="25026165"/>
        <c:scaling>
          <c:orientation val="minMax"/>
        </c:scaling>
        <c:axPos val="t"/>
        <c:majorGridlines/>
        <c:delete val="0"/>
        <c:numFmt formatCode="General" sourceLinked="1"/>
        <c:majorTickMark val="in"/>
        <c:minorTickMark val="none"/>
        <c:tickLblPos val="nextTo"/>
        <c:txPr>
          <a:bodyPr/>
          <a:lstStyle/>
          <a:p>
            <a:pPr>
              <a:defRPr lang="en-US" cap="none" sz="800" b="0" i="0" u="none" baseline="0"/>
            </a:pPr>
          </a:p>
        </c:txPr>
        <c:crossAx val="54976468"/>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1525" b="0" i="0" u="none" baseline="0">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45"/>
        </c:manualLayout>
      </c:layout>
      <c:barChart>
        <c:barDir val="bar"/>
        <c:grouping val="stacked"/>
        <c:varyColors val="0"/>
        <c:ser>
          <c:idx val="2"/>
          <c:order val="0"/>
          <c:tx>
            <c:v>直接効果</c:v>
          </c:tx>
          <c:invertIfNegative val="0"/>
          <c:extLst>
            <c:ext xmlns:c14="http://schemas.microsoft.com/office/drawing/2007/8/2/chart" uri="{6F2FDCE9-48DA-4B69-8628-5D25D57E5C99}">
              <c14:invertSolidFillFmt>
                <c14:spPr>
                  <a:solidFill>
                    <a:srgbClr val="000000"/>
                  </a:solidFill>
                </c14:spPr>
              </c14:invertSolidFillFmt>
            </c:ext>
          </c:extLst>
          <c:cat>
            <c:strRef>
              <c:f>'詳細・ｸﾞﾗﾌ'!$AF$48:$AF$79</c:f>
              <c:strCache>
                <c:ptCount val="32"/>
                <c:pt idx="0">
                  <c:v>農林水産業       </c:v>
                </c:pt>
                <c:pt idx="1">
                  <c:v>鉱業             </c:v>
                </c:pt>
                <c:pt idx="2">
                  <c:v>食料品           </c:v>
                </c:pt>
                <c:pt idx="3">
                  <c:v>繊維製品         </c:v>
                </c:pt>
                <c:pt idx="4">
                  <c:v>ﾊﾟﾙﾌﾟ･紙･木製品  </c:v>
                </c:pt>
                <c:pt idx="5">
                  <c:v>化学製品         </c:v>
                </c:pt>
                <c:pt idx="6">
                  <c:v>石油･石炭製品    </c:v>
                </c:pt>
                <c:pt idx="7">
                  <c:v>窯業･土石製品    </c:v>
                </c:pt>
                <c:pt idx="8">
                  <c:v>鉄鋼             </c:v>
                </c:pt>
                <c:pt idx="9">
                  <c:v>非鉄金属         </c:v>
                </c:pt>
                <c:pt idx="10">
                  <c:v>金属製品         </c:v>
                </c:pt>
                <c:pt idx="11">
                  <c:v>一般機械         </c:v>
                </c:pt>
                <c:pt idx="12">
                  <c:v>電気機械         </c:v>
                </c:pt>
                <c:pt idx="13">
                  <c:v>輸送機械         </c:v>
                </c:pt>
                <c:pt idx="14">
                  <c:v>精密機械         </c:v>
                </c:pt>
                <c:pt idx="15">
                  <c:v>その他の製造工業  </c:v>
                </c:pt>
                <c:pt idx="16">
                  <c:v>建設             </c:v>
                </c:pt>
                <c:pt idx="17">
                  <c:v>電力･ｶﾞｽ･熱供給  </c:v>
                </c:pt>
                <c:pt idx="18">
                  <c:v>水道･廃棄物処理   </c:v>
                </c:pt>
                <c:pt idx="19">
                  <c:v>商業             </c:v>
                </c:pt>
                <c:pt idx="20">
                  <c:v>金融･保険        </c:v>
                </c:pt>
                <c:pt idx="21">
                  <c:v>不動産           </c:v>
                </c:pt>
                <c:pt idx="22">
                  <c:v>運輸             </c:v>
                </c:pt>
                <c:pt idx="23">
                  <c:v>通信･放送        </c:v>
                </c:pt>
                <c:pt idx="24">
                  <c:v>公務             </c:v>
                </c:pt>
                <c:pt idx="25">
                  <c:v>教育･研究        </c:v>
                </c:pt>
                <c:pt idx="26">
                  <c:v>医療･保健･社会保障</c:v>
                </c:pt>
                <c:pt idx="27">
                  <c:v>その他の公共ｻｰﾋﾞｽ</c:v>
                </c:pt>
                <c:pt idx="28">
                  <c:v>対事業所ｻｰﾋﾞｽ    </c:v>
                </c:pt>
                <c:pt idx="29">
                  <c:v>対個人ｻｰﾋﾞｽ      </c:v>
                </c:pt>
                <c:pt idx="30">
                  <c:v>事務用品         </c:v>
                </c:pt>
                <c:pt idx="31">
                  <c:v>分類不明         </c:v>
                </c:pt>
              </c:strCache>
            </c:strRef>
          </c:cat>
          <c:val>
            <c:numRef>
              <c:f>'詳細・ｸﾞﾗﾌ'!$W$4:$W$35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269475.65404485725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er>
        <c:overlap val="100"/>
        <c:axId val="23908894"/>
        <c:axId val="13853455"/>
      </c:barChart>
      <c:catAx>
        <c:axId val="23908894"/>
        <c:scaling>
          <c:orientation val="maxMin"/>
        </c:scaling>
        <c:axPos val="l"/>
        <c:delete val="0"/>
        <c:numFmt formatCode="General" sourceLinked="1"/>
        <c:majorTickMark val="in"/>
        <c:minorTickMark val="none"/>
        <c:tickLblPos val="nextTo"/>
        <c:txPr>
          <a:bodyPr/>
          <a:lstStyle/>
          <a:p>
            <a:pPr>
              <a:defRPr lang="en-US" cap="none" sz="800" b="0" i="0" u="none" baseline="0"/>
            </a:pPr>
          </a:p>
        </c:txPr>
        <c:crossAx val="13853455"/>
        <c:crosses val="autoZero"/>
        <c:auto val="1"/>
        <c:lblOffset val="100"/>
        <c:noMultiLvlLbl val="0"/>
      </c:catAx>
      <c:valAx>
        <c:axId val="13853455"/>
        <c:scaling>
          <c:orientation val="minMax"/>
        </c:scaling>
        <c:axPos val="t"/>
        <c:majorGridlines/>
        <c:delete val="0"/>
        <c:numFmt formatCode="General" sourceLinked="1"/>
        <c:majorTickMark val="in"/>
        <c:minorTickMark val="none"/>
        <c:tickLblPos val="nextTo"/>
        <c:txPr>
          <a:bodyPr/>
          <a:lstStyle/>
          <a:p>
            <a:pPr>
              <a:defRPr lang="en-US" cap="none" sz="800" b="0" i="0" u="none" baseline="0"/>
            </a:pPr>
          </a:p>
        </c:txPr>
        <c:crossAx val="23908894"/>
        <c:crossesAt val="1"/>
        <c:crossBetween val="between"/>
        <c:dispUnits/>
      </c:valAx>
      <c:spPr>
        <a:solidFill>
          <a:srgbClr val="CCFFFF"/>
        </a:solidFill>
        <a:ln w="12700">
          <a:solidFill>
            <a:srgbClr val="808080"/>
          </a:solidFill>
        </a:ln>
      </c:spPr>
    </c:plotArea>
    <c:plotVisOnly val="1"/>
    <c:dispBlanksAs val="gap"/>
    <c:showDLblsOverMax val="0"/>
  </c:chart>
  <c:txPr>
    <a:bodyPr vert="horz" rot="0"/>
    <a:lstStyle/>
    <a:p>
      <a:pPr>
        <a:defRPr lang="en-US" cap="none" sz="1525" b="0" i="0" u="none" baseline="0">
          <a:latin typeface="ＭＳ 明朝"/>
          <a:ea typeface="ＭＳ 明朝"/>
          <a:cs typeface="ＭＳ 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43</xdr:row>
      <xdr:rowOff>76200</xdr:rowOff>
    </xdr:from>
    <xdr:to>
      <xdr:col>2</xdr:col>
      <xdr:colOff>4762500</xdr:colOff>
      <xdr:row>43</xdr:row>
      <xdr:rowOff>76200</xdr:rowOff>
    </xdr:to>
    <xdr:sp>
      <xdr:nvSpPr>
        <xdr:cNvPr id="1" name="Line 1"/>
        <xdr:cNvSpPr>
          <a:spLocks/>
        </xdr:cNvSpPr>
      </xdr:nvSpPr>
      <xdr:spPr>
        <a:xfrm>
          <a:off x="628650" y="8191500"/>
          <a:ext cx="4724400" cy="0"/>
        </a:xfrm>
        <a:prstGeom prst="line">
          <a:avLst/>
        </a:prstGeom>
        <a:noFill/>
        <a:ln w="19050" cmpd="sng">
          <a:solidFill>
            <a:srgbClr val="FF99C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49</xdr:row>
      <xdr:rowOff>76200</xdr:rowOff>
    </xdr:from>
    <xdr:to>
      <xdr:col>2</xdr:col>
      <xdr:colOff>4762500</xdr:colOff>
      <xdr:row>49</xdr:row>
      <xdr:rowOff>76200</xdr:rowOff>
    </xdr:to>
    <xdr:sp>
      <xdr:nvSpPr>
        <xdr:cNvPr id="2" name="Line 2"/>
        <xdr:cNvSpPr>
          <a:spLocks/>
        </xdr:cNvSpPr>
      </xdr:nvSpPr>
      <xdr:spPr>
        <a:xfrm>
          <a:off x="628650" y="9229725"/>
          <a:ext cx="4724400" cy="0"/>
        </a:xfrm>
        <a:prstGeom prst="line">
          <a:avLst/>
        </a:prstGeom>
        <a:noFill/>
        <a:ln w="19050" cmpd="sng">
          <a:solidFill>
            <a:srgbClr val="FF99CC"/>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29</xdr:row>
      <xdr:rowOff>0</xdr:rowOff>
    </xdr:to>
    <xdr:sp>
      <xdr:nvSpPr>
        <xdr:cNvPr id="1" name="AutoShape 1"/>
        <xdr:cNvSpPr>
          <a:spLocks/>
        </xdr:cNvSpPr>
      </xdr:nvSpPr>
      <xdr:spPr>
        <a:xfrm>
          <a:off x="0" y="4448175"/>
          <a:ext cx="0" cy="2324100"/>
        </a:xfrm>
        <a:prstGeom prst="striped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38100</xdr:rowOff>
    </xdr:from>
    <xdr:to>
      <xdr:col>8</xdr:col>
      <xdr:colOff>428625</xdr:colOff>
      <xdr:row>138</xdr:row>
      <xdr:rowOff>38100</xdr:rowOff>
    </xdr:to>
    <xdr:graphicFrame>
      <xdr:nvGraphicFramePr>
        <xdr:cNvPr id="1" name="Chart 3"/>
        <xdr:cNvGraphicFramePr/>
      </xdr:nvGraphicFramePr>
      <xdr:xfrm>
        <a:off x="0" y="21802725"/>
        <a:ext cx="8143875" cy="7962900"/>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94</xdr:row>
      <xdr:rowOff>38100</xdr:rowOff>
    </xdr:from>
    <xdr:to>
      <xdr:col>18</xdr:col>
      <xdr:colOff>304800</xdr:colOff>
      <xdr:row>138</xdr:row>
      <xdr:rowOff>38100</xdr:rowOff>
    </xdr:to>
    <xdr:graphicFrame>
      <xdr:nvGraphicFramePr>
        <xdr:cNvPr id="2" name="Chart 4"/>
        <xdr:cNvGraphicFramePr/>
      </xdr:nvGraphicFramePr>
      <xdr:xfrm>
        <a:off x="8267700" y="21802725"/>
        <a:ext cx="7991475" cy="7962900"/>
      </xdr:xfrm>
      <a:graphic>
        <a:graphicData uri="http://schemas.openxmlformats.org/drawingml/2006/chart">
          <c:chart xmlns:c="http://schemas.openxmlformats.org/drawingml/2006/chart" r:id="rId2"/>
        </a:graphicData>
      </a:graphic>
    </xdr:graphicFrame>
    <xdr:clientData/>
  </xdr:twoCellAnchor>
  <xdr:twoCellAnchor>
    <xdr:from>
      <xdr:col>20</xdr:col>
      <xdr:colOff>19050</xdr:colOff>
      <xdr:row>94</xdr:row>
      <xdr:rowOff>19050</xdr:rowOff>
    </xdr:from>
    <xdr:to>
      <xdr:col>29</xdr:col>
      <xdr:colOff>38100</xdr:colOff>
      <xdr:row>138</xdr:row>
      <xdr:rowOff>38100</xdr:rowOff>
    </xdr:to>
    <xdr:graphicFrame>
      <xdr:nvGraphicFramePr>
        <xdr:cNvPr id="3" name="Chart 5"/>
        <xdr:cNvGraphicFramePr/>
      </xdr:nvGraphicFramePr>
      <xdr:xfrm>
        <a:off x="16659225" y="21783675"/>
        <a:ext cx="8010525" cy="7981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47</xdr:row>
      <xdr:rowOff>0</xdr:rowOff>
    </xdr:from>
    <xdr:to>
      <xdr:col>9</xdr:col>
      <xdr:colOff>0</xdr:colOff>
      <xdr:row>87</xdr:row>
      <xdr:rowOff>9525</xdr:rowOff>
    </xdr:to>
    <xdr:graphicFrame>
      <xdr:nvGraphicFramePr>
        <xdr:cNvPr id="4" name="Chart 6"/>
        <xdr:cNvGraphicFramePr/>
      </xdr:nvGraphicFramePr>
      <xdr:xfrm>
        <a:off x="0" y="14030325"/>
        <a:ext cx="8153400" cy="6334125"/>
      </xdr:xfrm>
      <a:graphic>
        <a:graphicData uri="http://schemas.openxmlformats.org/drawingml/2006/chart">
          <c:chart xmlns:c="http://schemas.openxmlformats.org/drawingml/2006/chart" r:id="rId4"/>
        </a:graphicData>
      </a:graphic>
    </xdr:graphicFrame>
    <xdr:clientData/>
  </xdr:twoCellAnchor>
  <xdr:twoCellAnchor>
    <xdr:from>
      <xdr:col>10</xdr:col>
      <xdr:colOff>85725</xdr:colOff>
      <xdr:row>47</xdr:row>
      <xdr:rowOff>9525</xdr:rowOff>
    </xdr:from>
    <xdr:to>
      <xdr:col>19</xdr:col>
      <xdr:colOff>95250</xdr:colOff>
      <xdr:row>87</xdr:row>
      <xdr:rowOff>9525</xdr:rowOff>
    </xdr:to>
    <xdr:graphicFrame>
      <xdr:nvGraphicFramePr>
        <xdr:cNvPr id="5" name="Chart 7"/>
        <xdr:cNvGraphicFramePr/>
      </xdr:nvGraphicFramePr>
      <xdr:xfrm>
        <a:off x="8486775" y="14039850"/>
        <a:ext cx="8001000" cy="632460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47</xdr:row>
      <xdr:rowOff>0</xdr:rowOff>
    </xdr:from>
    <xdr:to>
      <xdr:col>29</xdr:col>
      <xdr:colOff>19050</xdr:colOff>
      <xdr:row>87</xdr:row>
      <xdr:rowOff>28575</xdr:rowOff>
    </xdr:to>
    <xdr:graphicFrame>
      <xdr:nvGraphicFramePr>
        <xdr:cNvPr id="6" name="Chart 8"/>
        <xdr:cNvGraphicFramePr/>
      </xdr:nvGraphicFramePr>
      <xdr:xfrm>
        <a:off x="16640175" y="14030325"/>
        <a:ext cx="8010525" cy="6353175"/>
      </xdr:xfrm>
      <a:graphic>
        <a:graphicData uri="http://schemas.openxmlformats.org/drawingml/2006/chart">
          <c:chart xmlns:c="http://schemas.openxmlformats.org/drawingml/2006/chart" r:id="rId6"/>
        </a:graphicData>
      </a:graphic>
    </xdr:graphicFrame>
    <xdr:clientData/>
  </xdr:twoCellAnchor>
  <xdr:twoCellAnchor>
    <xdr:from>
      <xdr:col>2</xdr:col>
      <xdr:colOff>352425</xdr:colOff>
      <xdr:row>44</xdr:row>
      <xdr:rowOff>171450</xdr:rowOff>
    </xdr:from>
    <xdr:to>
      <xdr:col>7</xdr:col>
      <xdr:colOff>285750</xdr:colOff>
      <xdr:row>46</xdr:row>
      <xdr:rowOff>47625</xdr:rowOff>
    </xdr:to>
    <xdr:sp>
      <xdr:nvSpPr>
        <xdr:cNvPr id="7" name="TextBox 9"/>
        <xdr:cNvSpPr txBox="1">
          <a:spLocks noChangeArrowheads="1"/>
        </xdr:cNvSpPr>
      </xdr:nvSpPr>
      <xdr:spPr>
        <a:xfrm>
          <a:off x="2228850" y="13544550"/>
          <a:ext cx="4533900"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明朝"/>
              <a:ea typeface="ＭＳ 明朝"/>
              <a:cs typeface="ＭＳ 明朝"/>
            </a:rPr>
            <a:t>生産誘発額</a:t>
          </a:r>
        </a:p>
      </xdr:txBody>
    </xdr:sp>
    <xdr:clientData/>
  </xdr:twoCellAnchor>
  <xdr:twoCellAnchor>
    <xdr:from>
      <xdr:col>2</xdr:col>
      <xdr:colOff>285750</xdr:colOff>
      <xdr:row>91</xdr:row>
      <xdr:rowOff>209550</xdr:rowOff>
    </xdr:from>
    <xdr:to>
      <xdr:col>7</xdr:col>
      <xdr:colOff>209550</xdr:colOff>
      <xdr:row>93</xdr:row>
      <xdr:rowOff>95250</xdr:rowOff>
    </xdr:to>
    <xdr:sp>
      <xdr:nvSpPr>
        <xdr:cNvPr id="8" name="TextBox 10"/>
        <xdr:cNvSpPr txBox="1">
          <a:spLocks noChangeArrowheads="1"/>
        </xdr:cNvSpPr>
      </xdr:nvSpPr>
      <xdr:spPr>
        <a:xfrm>
          <a:off x="2162175" y="21278850"/>
          <a:ext cx="45243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明朝"/>
              <a:ea typeface="ＭＳ 明朝"/>
              <a:cs typeface="ＭＳ 明朝"/>
            </a:rPr>
            <a:t>生産誘発額</a:t>
          </a:r>
        </a:p>
      </xdr:txBody>
    </xdr:sp>
    <xdr:clientData/>
  </xdr:twoCellAnchor>
  <xdr:twoCellAnchor>
    <xdr:from>
      <xdr:col>11</xdr:col>
      <xdr:colOff>1438275</xdr:colOff>
      <xdr:row>44</xdr:row>
      <xdr:rowOff>152400</xdr:rowOff>
    </xdr:from>
    <xdr:to>
      <xdr:col>17</xdr:col>
      <xdr:colOff>942975</xdr:colOff>
      <xdr:row>46</xdr:row>
      <xdr:rowOff>95250</xdr:rowOff>
    </xdr:to>
    <xdr:sp>
      <xdr:nvSpPr>
        <xdr:cNvPr id="9" name="TextBox 11"/>
        <xdr:cNvSpPr txBox="1">
          <a:spLocks noChangeArrowheads="1"/>
        </xdr:cNvSpPr>
      </xdr:nvSpPr>
      <xdr:spPr>
        <a:xfrm>
          <a:off x="10134600" y="13525500"/>
          <a:ext cx="5562600"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明朝"/>
              <a:ea typeface="ＭＳ 明朝"/>
              <a:cs typeface="ＭＳ 明朝"/>
            </a:rPr>
            <a:t>粗付加価値誘発額</a:t>
          </a:r>
        </a:p>
      </xdr:txBody>
    </xdr:sp>
    <xdr:clientData/>
  </xdr:twoCellAnchor>
  <xdr:twoCellAnchor>
    <xdr:from>
      <xdr:col>12</xdr:col>
      <xdr:colOff>47625</xdr:colOff>
      <xdr:row>91</xdr:row>
      <xdr:rowOff>190500</xdr:rowOff>
    </xdr:from>
    <xdr:to>
      <xdr:col>17</xdr:col>
      <xdr:colOff>1123950</xdr:colOff>
      <xdr:row>93</xdr:row>
      <xdr:rowOff>142875</xdr:rowOff>
    </xdr:to>
    <xdr:sp>
      <xdr:nvSpPr>
        <xdr:cNvPr id="10" name="TextBox 12"/>
        <xdr:cNvSpPr txBox="1">
          <a:spLocks noChangeArrowheads="1"/>
        </xdr:cNvSpPr>
      </xdr:nvSpPr>
      <xdr:spPr>
        <a:xfrm>
          <a:off x="10325100" y="21259800"/>
          <a:ext cx="555307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明朝"/>
              <a:ea typeface="ＭＳ 明朝"/>
              <a:cs typeface="ＭＳ 明朝"/>
            </a:rPr>
            <a:t>粗付加価値誘発額</a:t>
          </a:r>
        </a:p>
      </xdr:txBody>
    </xdr:sp>
    <xdr:clientData/>
  </xdr:twoCellAnchor>
  <xdr:twoCellAnchor>
    <xdr:from>
      <xdr:col>22</xdr:col>
      <xdr:colOff>304800</xdr:colOff>
      <xdr:row>44</xdr:row>
      <xdr:rowOff>152400</xdr:rowOff>
    </xdr:from>
    <xdr:to>
      <xdr:col>27</xdr:col>
      <xdr:colOff>333375</xdr:colOff>
      <xdr:row>46</xdr:row>
      <xdr:rowOff>47625</xdr:rowOff>
    </xdr:to>
    <xdr:sp>
      <xdr:nvSpPr>
        <xdr:cNvPr id="11" name="TextBox 13"/>
        <xdr:cNvSpPr txBox="1">
          <a:spLocks noChangeArrowheads="1"/>
        </xdr:cNvSpPr>
      </xdr:nvSpPr>
      <xdr:spPr>
        <a:xfrm>
          <a:off x="18821400" y="13525500"/>
          <a:ext cx="4505325"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明朝"/>
              <a:ea typeface="ＭＳ 明朝"/>
              <a:cs typeface="ＭＳ 明朝"/>
            </a:rPr>
            <a:t>雇用者所得誘発額</a:t>
          </a:r>
        </a:p>
      </xdr:txBody>
    </xdr:sp>
    <xdr:clientData/>
  </xdr:twoCellAnchor>
  <xdr:twoCellAnchor>
    <xdr:from>
      <xdr:col>22</xdr:col>
      <xdr:colOff>304800</xdr:colOff>
      <xdr:row>91</xdr:row>
      <xdr:rowOff>152400</xdr:rowOff>
    </xdr:from>
    <xdr:to>
      <xdr:col>27</xdr:col>
      <xdr:colOff>333375</xdr:colOff>
      <xdr:row>93</xdr:row>
      <xdr:rowOff>57150</xdr:rowOff>
    </xdr:to>
    <xdr:sp>
      <xdr:nvSpPr>
        <xdr:cNvPr id="12" name="TextBox 14"/>
        <xdr:cNvSpPr txBox="1">
          <a:spLocks noChangeArrowheads="1"/>
        </xdr:cNvSpPr>
      </xdr:nvSpPr>
      <xdr:spPr>
        <a:xfrm>
          <a:off x="18821400" y="21221700"/>
          <a:ext cx="45053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明朝"/>
              <a:ea typeface="ＭＳ 明朝"/>
              <a:cs typeface="ＭＳ 明朝"/>
            </a:rPr>
            <a:t>雇用者所得誘発額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kei@pref.ishikaw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D49"/>
  <sheetViews>
    <sheetView showGridLines="0" workbookViewId="0" topLeftCell="A1">
      <selection activeCell="B32" sqref="B32:D32"/>
    </sheetView>
  </sheetViews>
  <sheetFormatPr defaultColWidth="8.796875" defaultRowHeight="14.25"/>
  <cols>
    <col min="1" max="1" width="3.59765625" style="10" customWidth="1"/>
    <col min="2" max="2" width="2.59765625" style="10" customWidth="1"/>
    <col min="3" max="4" width="50.59765625" style="10" customWidth="1"/>
    <col min="5" max="16384" width="9" style="10" customWidth="1"/>
  </cols>
  <sheetData>
    <row r="1" spans="1:3" ht="13.5">
      <c r="A1" s="193" t="s">
        <v>42</v>
      </c>
      <c r="B1" s="193"/>
      <c r="C1" s="193"/>
    </row>
    <row r="3" spans="1:2" ht="13.5">
      <c r="A3" s="10" t="s">
        <v>43</v>
      </c>
      <c r="B3" s="10" t="s">
        <v>44</v>
      </c>
    </row>
    <row r="4" spans="2:4" ht="13.5">
      <c r="B4" s="194"/>
      <c r="C4" s="195"/>
      <c r="D4" s="12" t="s">
        <v>202</v>
      </c>
    </row>
    <row r="5" spans="2:4" ht="13.5">
      <c r="B5" s="14" t="s">
        <v>45</v>
      </c>
      <c r="C5" s="13" t="s">
        <v>203</v>
      </c>
      <c r="D5" s="11"/>
    </row>
    <row r="6" spans="2:4" ht="27">
      <c r="B6" s="14" t="s">
        <v>46</v>
      </c>
      <c r="C6" s="13" t="s">
        <v>204</v>
      </c>
      <c r="D6" s="11" t="s">
        <v>205</v>
      </c>
    </row>
    <row r="7" spans="2:4" ht="27">
      <c r="B7" s="14" t="s">
        <v>47</v>
      </c>
      <c r="C7" s="13" t="s">
        <v>68</v>
      </c>
      <c r="D7" s="11" t="s">
        <v>206</v>
      </c>
    </row>
    <row r="8" spans="2:4" ht="40.5">
      <c r="B8" s="14" t="s">
        <v>48</v>
      </c>
      <c r="C8" s="13" t="s">
        <v>207</v>
      </c>
      <c r="D8" s="11"/>
    </row>
    <row r="10" spans="1:3" ht="13.5">
      <c r="A10" s="10" t="s">
        <v>49</v>
      </c>
      <c r="B10" s="193" t="s">
        <v>50</v>
      </c>
      <c r="C10" s="193"/>
    </row>
    <row r="12" spans="2:3" ht="13.5">
      <c r="B12" s="193" t="s">
        <v>51</v>
      </c>
      <c r="C12" s="193"/>
    </row>
    <row r="13" spans="2:3" ht="13.5">
      <c r="B13" s="193" t="s">
        <v>208</v>
      </c>
      <c r="C13" s="193"/>
    </row>
    <row r="14" spans="2:3" ht="13.5">
      <c r="B14" s="193" t="s">
        <v>209</v>
      </c>
      <c r="C14" s="193"/>
    </row>
    <row r="15" spans="2:3" ht="13.5">
      <c r="B15" s="193" t="s">
        <v>210</v>
      </c>
      <c r="C15" s="193"/>
    </row>
    <row r="16" spans="2:3" ht="13.5">
      <c r="B16" s="193" t="s">
        <v>52</v>
      </c>
      <c r="C16" s="193"/>
    </row>
    <row r="17" spans="2:3" ht="13.5">
      <c r="B17" s="193" t="s">
        <v>211</v>
      </c>
      <c r="C17" s="193"/>
    </row>
    <row r="18" spans="2:3" ht="13.5">
      <c r="B18" s="193" t="s">
        <v>212</v>
      </c>
      <c r="C18" s="193"/>
    </row>
    <row r="19" spans="2:3" ht="13.5">
      <c r="B19" s="193" t="s">
        <v>213</v>
      </c>
      <c r="C19" s="193"/>
    </row>
    <row r="20" spans="2:3" ht="13.5">
      <c r="B20" s="193" t="s">
        <v>214</v>
      </c>
      <c r="C20" s="193"/>
    </row>
    <row r="21" ht="13.5">
      <c r="B21" s="10" t="s">
        <v>53</v>
      </c>
    </row>
    <row r="22" spans="2:3" ht="13.5">
      <c r="B22" s="193" t="s">
        <v>215</v>
      </c>
      <c r="C22" s="193"/>
    </row>
    <row r="23" spans="2:3" ht="13.5">
      <c r="B23" s="193" t="s">
        <v>216</v>
      </c>
      <c r="C23" s="193"/>
    </row>
    <row r="24" spans="2:3" ht="13.5">
      <c r="B24" s="193" t="s">
        <v>146</v>
      </c>
      <c r="C24" s="193"/>
    </row>
    <row r="25" spans="2:3" ht="13.5">
      <c r="B25" s="193" t="s">
        <v>217</v>
      </c>
      <c r="C25" s="193"/>
    </row>
    <row r="26" spans="2:3" ht="13.5">
      <c r="B26" s="193" t="s">
        <v>218</v>
      </c>
      <c r="C26" s="193"/>
    </row>
    <row r="28" spans="1:4" ht="13.5">
      <c r="A28" s="10" t="s">
        <v>54</v>
      </c>
      <c r="B28" s="193" t="s">
        <v>55</v>
      </c>
      <c r="C28" s="193"/>
      <c r="D28" s="193"/>
    </row>
    <row r="29" spans="2:4" ht="13.5">
      <c r="B29" s="193" t="s">
        <v>56</v>
      </c>
      <c r="C29" s="193"/>
      <c r="D29" s="193"/>
    </row>
    <row r="30" spans="2:4" ht="13.5">
      <c r="B30" s="193" t="s">
        <v>57</v>
      </c>
      <c r="C30" s="193"/>
      <c r="D30" s="193"/>
    </row>
    <row r="31" spans="2:4" ht="13.5">
      <c r="B31" s="193" t="s">
        <v>58</v>
      </c>
      <c r="C31" s="193"/>
      <c r="D31" s="193"/>
    </row>
    <row r="32" spans="2:4" ht="13.5">
      <c r="B32" s="193" t="s">
        <v>59</v>
      </c>
      <c r="C32" s="193"/>
      <c r="D32" s="193"/>
    </row>
    <row r="33" spans="2:4" ht="13.5">
      <c r="B33" s="193" t="s">
        <v>60</v>
      </c>
      <c r="C33" s="193"/>
      <c r="D33" s="193"/>
    </row>
    <row r="34" spans="2:4" ht="13.5">
      <c r="B34" s="193" t="s">
        <v>61</v>
      </c>
      <c r="C34" s="193"/>
      <c r="D34" s="193"/>
    </row>
    <row r="35" spans="2:4" ht="13.5">
      <c r="B35" s="193" t="s">
        <v>62</v>
      </c>
      <c r="C35" s="193"/>
      <c r="D35" s="193"/>
    </row>
    <row r="36" spans="2:4" ht="13.5">
      <c r="B36" s="193" t="s">
        <v>63</v>
      </c>
      <c r="C36" s="193"/>
      <c r="D36" s="193"/>
    </row>
    <row r="37" spans="2:4" ht="13.5">
      <c r="B37" s="193" t="s">
        <v>219</v>
      </c>
      <c r="C37" s="193"/>
      <c r="D37" s="193"/>
    </row>
    <row r="38" spans="2:4" ht="13.5">
      <c r="B38" s="193" t="s">
        <v>64</v>
      </c>
      <c r="C38" s="193"/>
      <c r="D38" s="193"/>
    </row>
    <row r="39" spans="2:4" ht="13.5">
      <c r="B39" s="193" t="s">
        <v>65</v>
      </c>
      <c r="C39" s="193"/>
      <c r="D39" s="193"/>
    </row>
    <row r="40" spans="2:4" ht="13.5">
      <c r="B40" s="193" t="s">
        <v>66</v>
      </c>
      <c r="C40" s="193"/>
      <c r="D40" s="193"/>
    </row>
    <row r="41" spans="2:4" ht="13.5">
      <c r="B41" s="193" t="s">
        <v>67</v>
      </c>
      <c r="C41" s="193"/>
      <c r="D41" s="193"/>
    </row>
    <row r="45" ht="13.5">
      <c r="C45" s="41" t="s">
        <v>200</v>
      </c>
    </row>
    <row r="46" ht="13.5">
      <c r="C46" s="10" t="s">
        <v>201</v>
      </c>
    </row>
    <row r="47" ht="13.5">
      <c r="C47" s="10" t="s">
        <v>220</v>
      </c>
    </row>
    <row r="48" ht="13.5">
      <c r="C48" s="10" t="s">
        <v>221</v>
      </c>
    </row>
    <row r="49" ht="13.5">
      <c r="C49" s="188" t="s">
        <v>222</v>
      </c>
    </row>
  </sheetData>
  <mergeCells count="31">
    <mergeCell ref="B29:D29"/>
    <mergeCell ref="B30:D30"/>
    <mergeCell ref="B31:D31"/>
    <mergeCell ref="B32:D32"/>
    <mergeCell ref="B38:D38"/>
    <mergeCell ref="B39:D39"/>
    <mergeCell ref="B40:D40"/>
    <mergeCell ref="B33:D33"/>
    <mergeCell ref="B34:D34"/>
    <mergeCell ref="B35:D35"/>
    <mergeCell ref="B36:D36"/>
    <mergeCell ref="B13:C13"/>
    <mergeCell ref="B14:C14"/>
    <mergeCell ref="B41:D41"/>
    <mergeCell ref="B28:D28"/>
    <mergeCell ref="B26:C26"/>
    <mergeCell ref="B22:C22"/>
    <mergeCell ref="B23:C23"/>
    <mergeCell ref="B24:C24"/>
    <mergeCell ref="B25:C25"/>
    <mergeCell ref="B37:D37"/>
    <mergeCell ref="B19:C19"/>
    <mergeCell ref="B20:C20"/>
    <mergeCell ref="A1:C1"/>
    <mergeCell ref="B4:C4"/>
    <mergeCell ref="B15:C15"/>
    <mergeCell ref="B16:C16"/>
    <mergeCell ref="B17:C17"/>
    <mergeCell ref="B18:C18"/>
    <mergeCell ref="B10:C10"/>
    <mergeCell ref="B12:C12"/>
  </mergeCells>
  <hyperlinks>
    <hyperlink ref="C49" r:id="rId1" display="  E-mail　toukei@pref.ishikawa.jp"/>
  </hyperlinks>
  <printOptions verticalCentered="1"/>
  <pageMargins left="0.7874015748031497" right="0.7874015748031497" top="0.984251968503937" bottom="0.984251968503937" header="0.5118110236220472" footer="0.5118110236220472"/>
  <pageSetup fitToHeight="1" fitToWidth="1" horizontalDpi="300" verticalDpi="300" orientation="landscape" paperSize="12" r:id="rId3"/>
  <headerFooter alignWithMargins="0">
    <oddHeader>&amp;LFILE=&amp;F,SHEET=&amp;A</oddHead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T50"/>
  <sheetViews>
    <sheetView showGridLines="0" tabSelected="1" workbookViewId="0" topLeftCell="A22">
      <selection activeCell="R35" sqref="R35"/>
    </sheetView>
  </sheetViews>
  <sheetFormatPr defaultColWidth="8.796875" defaultRowHeight="18" customHeight="1"/>
  <cols>
    <col min="1" max="1" width="2.3984375" style="98" customWidth="1"/>
    <col min="2" max="2" width="4.3984375" style="98" customWidth="1"/>
    <col min="3" max="3" width="20.59765625" style="98" customWidth="1"/>
    <col min="4" max="4" width="2.59765625" style="98" customWidth="1"/>
    <col min="5" max="5" width="3.59765625" style="98" customWidth="1"/>
    <col min="6" max="6" width="4.59765625" style="98" customWidth="1"/>
    <col min="7" max="7" width="2.5" style="98" customWidth="1"/>
    <col min="8" max="9" width="2.3984375" style="98" customWidth="1"/>
    <col min="10" max="10" width="3" style="98" customWidth="1"/>
    <col min="11" max="11" width="2.8984375" style="98" customWidth="1"/>
    <col min="12" max="13" width="4.59765625" style="98" customWidth="1"/>
    <col min="14" max="14" width="3" style="98" customWidth="1"/>
    <col min="15" max="31" width="4.59765625" style="98" customWidth="1"/>
    <col min="32" max="16384" width="9" style="98" customWidth="1"/>
  </cols>
  <sheetData>
    <row r="1" spans="3:5" ht="11.25" customHeight="1">
      <c r="C1" s="99"/>
      <c r="E1" s="100" t="s">
        <v>199</v>
      </c>
    </row>
    <row r="2" spans="2:3" ht="11.25" customHeight="1">
      <c r="B2" s="196" t="s">
        <v>147</v>
      </c>
      <c r="C2" s="196"/>
    </row>
    <row r="3" spans="2:6" ht="13.5">
      <c r="B3" s="101" t="s">
        <v>148</v>
      </c>
      <c r="C3" s="101" t="s">
        <v>149</v>
      </c>
      <c r="E3" s="102" t="s">
        <v>74</v>
      </c>
      <c r="F3" s="103" t="s">
        <v>150</v>
      </c>
    </row>
    <row r="4" spans="2:6" ht="11.25" customHeight="1">
      <c r="B4" s="104">
        <v>1</v>
      </c>
      <c r="C4" s="105" t="s">
        <v>4</v>
      </c>
      <c r="F4" s="98" t="s">
        <v>151</v>
      </c>
    </row>
    <row r="5" spans="2:3" ht="11.25" customHeight="1" thickBot="1">
      <c r="B5" s="104">
        <v>2</v>
      </c>
      <c r="C5" s="105" t="s">
        <v>5</v>
      </c>
    </row>
    <row r="6" spans="2:15" ht="11.25" customHeight="1" thickTop="1">
      <c r="B6" s="104">
        <v>3</v>
      </c>
      <c r="C6" s="105" t="s">
        <v>6</v>
      </c>
      <c r="D6" s="197"/>
      <c r="E6" s="197"/>
      <c r="L6" s="203">
        <v>17</v>
      </c>
      <c r="M6" s="204"/>
      <c r="O6" s="107" t="str">
        <f>IF(L6&lt;1,"範囲外です。",IF(L6&gt;32,"範囲外です。",VLOOKUP(L6,B4:C35,2)))</f>
        <v>建設</v>
      </c>
    </row>
    <row r="7" spans="2:13" ht="11.25" customHeight="1" thickBot="1">
      <c r="B7" s="104">
        <v>4</v>
      </c>
      <c r="C7" s="105" t="s">
        <v>7</v>
      </c>
      <c r="D7" s="198"/>
      <c r="E7" s="198"/>
      <c r="L7" s="205"/>
      <c r="M7" s="206"/>
    </row>
    <row r="8" spans="2:3" ht="11.25" customHeight="1" thickTop="1">
      <c r="B8" s="104">
        <v>5</v>
      </c>
      <c r="C8" s="105" t="s">
        <v>8</v>
      </c>
    </row>
    <row r="9" spans="2:3" ht="11.25" customHeight="1">
      <c r="B9" s="104">
        <v>6</v>
      </c>
      <c r="C9" s="105" t="s">
        <v>9</v>
      </c>
    </row>
    <row r="10" spans="2:8" ht="11.25" customHeight="1">
      <c r="B10" s="104">
        <v>7</v>
      </c>
      <c r="C10" s="105" t="s">
        <v>10</v>
      </c>
      <c r="E10" s="102" t="s">
        <v>152</v>
      </c>
      <c r="F10" s="103" t="s">
        <v>73</v>
      </c>
      <c r="G10" s="103"/>
      <c r="H10" s="103"/>
    </row>
    <row r="11" spans="2:3" ht="11.25" customHeight="1" thickBot="1">
      <c r="B11" s="104">
        <v>8</v>
      </c>
      <c r="C11" s="105" t="s">
        <v>11</v>
      </c>
    </row>
    <row r="12" spans="2:13" ht="11.25" customHeight="1" thickTop="1">
      <c r="B12" s="104">
        <v>9</v>
      </c>
      <c r="C12" s="105" t="s">
        <v>12</v>
      </c>
      <c r="F12" s="108" t="s">
        <v>153</v>
      </c>
      <c r="G12" s="108"/>
      <c r="H12" s="109"/>
      <c r="I12" s="109"/>
      <c r="J12" s="108"/>
      <c r="L12" s="203">
        <v>100</v>
      </c>
      <c r="M12" s="207"/>
    </row>
    <row r="13" spans="2:16" ht="11.25" customHeight="1" thickBot="1">
      <c r="B13" s="104">
        <v>10</v>
      </c>
      <c r="C13" s="105" t="s">
        <v>13</v>
      </c>
      <c r="F13" s="108"/>
      <c r="G13" s="108"/>
      <c r="H13" s="109"/>
      <c r="I13" s="109"/>
      <c r="J13" s="108"/>
      <c r="L13" s="208"/>
      <c r="M13" s="209"/>
      <c r="N13" s="110"/>
      <c r="O13" s="111"/>
      <c r="P13" s="112"/>
    </row>
    <row r="14" spans="2:3" ht="11.25" customHeight="1" thickBot="1" thickTop="1">
      <c r="B14" s="104">
        <v>11</v>
      </c>
      <c r="C14" s="105" t="s">
        <v>14</v>
      </c>
    </row>
    <row r="15" spans="2:13" ht="11.25" customHeight="1" thickTop="1">
      <c r="B15" s="104">
        <v>12</v>
      </c>
      <c r="C15" s="105" t="s">
        <v>15</v>
      </c>
      <c r="F15" s="108" t="s">
        <v>154</v>
      </c>
      <c r="G15" s="110"/>
      <c r="L15" s="203" t="s">
        <v>71</v>
      </c>
      <c r="M15" s="207"/>
    </row>
    <row r="16" spans="2:13" ht="11.25" customHeight="1" thickBot="1">
      <c r="B16" s="104">
        <v>13</v>
      </c>
      <c r="C16" s="105" t="s">
        <v>16</v>
      </c>
      <c r="F16" s="110"/>
      <c r="G16" s="110"/>
      <c r="L16" s="208"/>
      <c r="M16" s="209"/>
    </row>
    <row r="17" spans="2:3" ht="11.25" customHeight="1" thickTop="1">
      <c r="B17" s="104">
        <v>14</v>
      </c>
      <c r="C17" s="105" t="s">
        <v>17</v>
      </c>
    </row>
    <row r="18" spans="2:3" ht="11.25" customHeight="1">
      <c r="B18" s="104">
        <v>15</v>
      </c>
      <c r="C18" s="105" t="s">
        <v>18</v>
      </c>
    </row>
    <row r="19" spans="2:6" ht="11.25" customHeight="1">
      <c r="B19" s="104">
        <v>16</v>
      </c>
      <c r="C19" s="105" t="s">
        <v>19</v>
      </c>
      <c r="E19" s="102" t="s">
        <v>75</v>
      </c>
      <c r="F19" s="103" t="s">
        <v>157</v>
      </c>
    </row>
    <row r="20" spans="2:6" ht="11.25" customHeight="1">
      <c r="B20" s="104">
        <v>17</v>
      </c>
      <c r="C20" s="105" t="s">
        <v>20</v>
      </c>
      <c r="E20" s="113"/>
      <c r="F20" s="114" t="s">
        <v>198</v>
      </c>
    </row>
    <row r="21" spans="2:5" ht="11.25" customHeight="1" thickBot="1">
      <c r="B21" s="104">
        <v>18</v>
      </c>
      <c r="C21" s="105" t="s">
        <v>21</v>
      </c>
      <c r="E21" s="113"/>
    </row>
    <row r="22" spans="2:20" ht="11.25" customHeight="1" thickTop="1">
      <c r="B22" s="104">
        <v>19</v>
      </c>
      <c r="C22" s="105" t="s">
        <v>22</v>
      </c>
      <c r="F22" s="98" t="s">
        <v>155</v>
      </c>
      <c r="G22" s="108"/>
      <c r="H22" s="108"/>
      <c r="I22" s="108"/>
      <c r="J22" s="108"/>
      <c r="K22" s="108"/>
      <c r="L22" s="203">
        <v>15</v>
      </c>
      <c r="M22" s="204"/>
      <c r="N22" s="115"/>
      <c r="Q22" s="110"/>
      <c r="R22" s="110"/>
      <c r="S22" s="116"/>
      <c r="T22" s="116"/>
    </row>
    <row r="23" spans="2:20" ht="11.25" customHeight="1" thickBot="1">
      <c r="B23" s="104">
        <v>20</v>
      </c>
      <c r="C23" s="105" t="s">
        <v>23</v>
      </c>
      <c r="F23" s="108"/>
      <c r="G23" s="108"/>
      <c r="H23" s="108"/>
      <c r="I23" s="108"/>
      <c r="J23" s="108"/>
      <c r="K23" s="108"/>
      <c r="L23" s="205"/>
      <c r="M23" s="206"/>
      <c r="N23" s="115"/>
      <c r="O23" s="110"/>
      <c r="P23" s="110"/>
      <c r="Q23" s="110"/>
      <c r="R23" s="110"/>
      <c r="S23" s="116"/>
      <c r="T23" s="116"/>
    </row>
    <row r="24" spans="2:20" ht="11.25" customHeight="1" thickTop="1">
      <c r="B24" s="104">
        <v>21</v>
      </c>
      <c r="C24" s="105" t="s">
        <v>24</v>
      </c>
      <c r="N24" s="117"/>
      <c r="S24" s="106"/>
      <c r="T24" s="106"/>
    </row>
    <row r="25" spans="2:16" ht="11.25" customHeight="1">
      <c r="B25" s="104">
        <v>22</v>
      </c>
      <c r="C25" s="105" t="s">
        <v>25</v>
      </c>
      <c r="F25" s="108" t="s">
        <v>156</v>
      </c>
      <c r="L25" s="199">
        <f>IF($L$22&lt;10,"未設定",IF(VLOOKUP($L$22,$B$40:$C$50,2)&gt;50,VLOOKUP($L$22,$B$40:$C$50,2)/100,"未設定"))</f>
        <v>0.7190000000000001</v>
      </c>
      <c r="M25" s="200"/>
      <c r="N25" s="118"/>
      <c r="O25" s="111"/>
      <c r="P25" s="112"/>
    </row>
    <row r="26" spans="2:13" ht="11.25" customHeight="1">
      <c r="B26" s="104">
        <v>23</v>
      </c>
      <c r="C26" s="105" t="s">
        <v>26</v>
      </c>
      <c r="L26" s="201"/>
      <c r="M26" s="202"/>
    </row>
    <row r="27" spans="2:3" ht="11.25" customHeight="1">
      <c r="B27" s="104">
        <v>24</v>
      </c>
      <c r="C27" s="105" t="s">
        <v>27</v>
      </c>
    </row>
    <row r="28" spans="2:3" ht="11.25" customHeight="1">
      <c r="B28" s="104">
        <v>25</v>
      </c>
      <c r="C28" s="105" t="s">
        <v>28</v>
      </c>
    </row>
    <row r="29" spans="2:3" ht="11.25" customHeight="1">
      <c r="B29" s="104">
        <v>26</v>
      </c>
      <c r="C29" s="105" t="s">
        <v>29</v>
      </c>
    </row>
    <row r="30" spans="2:3" ht="11.25" customHeight="1">
      <c r="B30" s="104">
        <v>27</v>
      </c>
      <c r="C30" s="105" t="s">
        <v>30</v>
      </c>
    </row>
    <row r="31" spans="2:3" ht="11.25" customHeight="1">
      <c r="B31" s="104">
        <v>28</v>
      </c>
      <c r="C31" s="105" t="s">
        <v>31</v>
      </c>
    </row>
    <row r="32" spans="2:3" ht="11.25" customHeight="1">
      <c r="B32" s="104">
        <v>29</v>
      </c>
      <c r="C32" s="105" t="s">
        <v>32</v>
      </c>
    </row>
    <row r="33" spans="2:3" ht="11.25" customHeight="1">
      <c r="B33" s="104">
        <v>30</v>
      </c>
      <c r="C33" s="105" t="s">
        <v>33</v>
      </c>
    </row>
    <row r="34" spans="2:3" ht="11.25" customHeight="1">
      <c r="B34" s="104">
        <v>31</v>
      </c>
      <c r="C34" s="105" t="s">
        <v>34</v>
      </c>
    </row>
    <row r="35" spans="2:3" ht="11.25" customHeight="1">
      <c r="B35" s="104">
        <v>32</v>
      </c>
      <c r="C35" s="105" t="s">
        <v>35</v>
      </c>
    </row>
    <row r="36" ht="11.25" customHeight="1"/>
    <row r="37" ht="11.25" customHeight="1"/>
    <row r="38" ht="11.25" customHeight="1">
      <c r="B38" s="119" t="s">
        <v>157</v>
      </c>
    </row>
    <row r="39" spans="2:3" ht="11.25" customHeight="1">
      <c r="B39" s="104" t="s">
        <v>196</v>
      </c>
      <c r="C39" s="120" t="s">
        <v>197</v>
      </c>
    </row>
    <row r="40" spans="2:3" ht="11.25" customHeight="1">
      <c r="B40" s="104">
        <v>10</v>
      </c>
      <c r="C40" s="121">
        <v>64.4</v>
      </c>
    </row>
    <row r="41" spans="2:3" ht="11.25" customHeight="1">
      <c r="B41" s="104">
        <v>11</v>
      </c>
      <c r="C41" s="121">
        <v>66.6</v>
      </c>
    </row>
    <row r="42" spans="2:3" ht="11.25" customHeight="1">
      <c r="B42" s="104">
        <v>12</v>
      </c>
      <c r="C42" s="121">
        <v>69.2</v>
      </c>
    </row>
    <row r="43" spans="2:3" ht="11.25" customHeight="1">
      <c r="B43" s="104">
        <v>13</v>
      </c>
      <c r="C43" s="121">
        <v>71.3</v>
      </c>
    </row>
    <row r="44" spans="2:3" ht="11.25" customHeight="1">
      <c r="B44" s="104">
        <v>14</v>
      </c>
      <c r="C44" s="121">
        <v>71.4</v>
      </c>
    </row>
    <row r="45" spans="2:3" ht="11.25" customHeight="1">
      <c r="B45" s="104">
        <v>15</v>
      </c>
      <c r="C45" s="121">
        <v>71.9</v>
      </c>
    </row>
    <row r="46" spans="2:3" ht="11.25" customHeight="1">
      <c r="B46" s="104">
        <v>16</v>
      </c>
      <c r="C46" s="121"/>
    </row>
    <row r="47" spans="2:3" ht="11.25" customHeight="1">
      <c r="B47" s="104">
        <v>17</v>
      </c>
      <c r="C47" s="121"/>
    </row>
    <row r="48" spans="2:3" ht="11.25" customHeight="1">
      <c r="B48" s="104">
        <v>18</v>
      </c>
      <c r="C48" s="121"/>
    </row>
    <row r="49" spans="2:3" ht="11.25" customHeight="1">
      <c r="B49" s="104">
        <v>19</v>
      </c>
      <c r="C49" s="121"/>
    </row>
    <row r="50" spans="2:3" ht="11.25" customHeight="1">
      <c r="B50" s="104">
        <v>20</v>
      </c>
      <c r="C50" s="121"/>
    </row>
  </sheetData>
  <sheetProtection sheet="1" objects="1" scenarios="1"/>
  <mergeCells count="8">
    <mergeCell ref="B2:C2"/>
    <mergeCell ref="D6:E6"/>
    <mergeCell ref="D7:E7"/>
    <mergeCell ref="L25:M26"/>
    <mergeCell ref="L22:M23"/>
    <mergeCell ref="L6:M7"/>
    <mergeCell ref="L12:M13"/>
    <mergeCell ref="L15:M16"/>
  </mergeCells>
  <printOptions/>
  <pageMargins left="0.78740157480315" right="0.78740157480315" top="0.984251968503937" bottom="0.984251968503937" header="0.511811023622047" footer="0.511811023622047"/>
  <pageSetup fitToHeight="1" fitToWidth="1" horizontalDpi="300" verticalDpi="300" orientation="landscape" paperSize="9" scale="84" r:id="rId2"/>
  <headerFooter alignWithMargins="0">
    <oddHeader>&amp;LFILE=&amp;F,SHEET=&amp;A</oddHeader>
  </headerFooter>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H17"/>
  <sheetViews>
    <sheetView showGridLines="0" zoomScale="75" zoomScaleNormal="75" workbookViewId="0" topLeftCell="A16">
      <selection activeCell="H5" sqref="H5"/>
    </sheetView>
  </sheetViews>
  <sheetFormatPr defaultColWidth="8.796875" defaultRowHeight="24" customHeight="1"/>
  <cols>
    <col min="1" max="1" width="2.8984375" style="31" customWidth="1"/>
    <col min="2" max="3" width="20.59765625" style="31" customWidth="1"/>
    <col min="4" max="4" width="5.59765625" style="31" customWidth="1"/>
    <col min="5" max="5" width="20.59765625" style="31" customWidth="1"/>
    <col min="6" max="6" width="5.59765625" style="31" customWidth="1"/>
    <col min="7" max="7" width="20.59765625" style="31" customWidth="1"/>
    <col min="8" max="8" width="5.59765625" style="31" customWidth="1"/>
    <col min="9" max="16384" width="20.59765625" style="31" customWidth="1"/>
  </cols>
  <sheetData>
    <row r="1" ht="11.25" customHeight="1" thickBot="1"/>
    <row r="2" spans="2:8" ht="30" customHeight="1" thickBot="1" thickTop="1">
      <c r="B2" s="210" t="str">
        <f>VLOOKUP('入力SHEET'!$L$6,'入力SHEET'!B4:C35,2)&amp;"部門に"&amp;'入力SHEET'!L12&amp;'入力SHEET'!L15&amp;"の需要が発生した場合の経済波及効果分析結果"</f>
        <v>建設部門に100億円の需要が発生した場合の経済波及効果分析結果</v>
      </c>
      <c r="C2" s="211"/>
      <c r="D2" s="211"/>
      <c r="E2" s="211"/>
      <c r="F2" s="211"/>
      <c r="G2" s="211"/>
      <c r="H2" s="212"/>
    </row>
    <row r="3" spans="2:8" ht="24" customHeight="1" thickTop="1">
      <c r="B3" s="37"/>
      <c r="C3" s="37"/>
      <c r="D3" s="37"/>
      <c r="E3" s="37"/>
      <c r="F3" s="37"/>
      <c r="G3" s="37"/>
      <c r="H3" s="37"/>
    </row>
    <row r="5" ht="24" customHeight="1">
      <c r="B5" s="32" t="s">
        <v>89</v>
      </c>
    </row>
    <row r="6" ht="17.25">
      <c r="B6" s="31" t="s">
        <v>136</v>
      </c>
    </row>
    <row r="7" ht="17.25">
      <c r="B7" s="31" t="s">
        <v>137</v>
      </c>
    </row>
    <row r="8" ht="17.25">
      <c r="B8" s="31" t="s">
        <v>92</v>
      </c>
    </row>
    <row r="9" ht="17.25">
      <c r="B9" s="31" t="str">
        <f>"　④消費性向は平成"&amp;'入力SHEET'!L22&amp;"年家計調査年報の全国勤労者世帯の平均消費性向を使用する。"</f>
        <v>　④消費性向は平成15年家計調査年報の全国勤労者世帯の平均消費性向を使用する。</v>
      </c>
    </row>
    <row r="12" spans="2:8" ht="24" customHeight="1" thickBot="1">
      <c r="B12" s="32" t="s">
        <v>88</v>
      </c>
      <c r="C12" s="49"/>
      <c r="D12" s="49"/>
      <c r="E12" s="49"/>
      <c r="F12" s="49"/>
      <c r="G12" s="49"/>
      <c r="H12" s="33" t="str">
        <f>"（単位："&amp;'入力SHEET'!L15&amp;"）"</f>
        <v>（単位：億円）</v>
      </c>
    </row>
    <row r="13" spans="2:8" s="34" customFormat="1" ht="42" customHeight="1" thickBot="1">
      <c r="B13" s="56" t="s">
        <v>91</v>
      </c>
      <c r="C13" s="189" t="s">
        <v>81</v>
      </c>
      <c r="D13" s="189"/>
      <c r="E13" s="189" t="s">
        <v>82</v>
      </c>
      <c r="F13" s="189"/>
      <c r="G13" s="189" t="s">
        <v>83</v>
      </c>
      <c r="H13" s="189"/>
    </row>
    <row r="14" spans="2:8" ht="42" customHeight="1">
      <c r="B14" s="52" t="s">
        <v>86</v>
      </c>
      <c r="C14" s="53">
        <f>'入力SHEET'!L12</f>
        <v>100</v>
      </c>
      <c r="D14" s="54"/>
      <c r="E14" s="53">
        <f>'分析過程'!C9</f>
        <v>45.62430206471015</v>
      </c>
      <c r="F14" s="54"/>
      <c r="G14" s="53">
        <f>'分析過程'!C13</f>
        <v>26.947565404485722</v>
      </c>
      <c r="H14" s="55"/>
    </row>
    <row r="15" spans="2:8" ht="42" customHeight="1">
      <c r="B15" s="50" t="s">
        <v>85</v>
      </c>
      <c r="C15" s="35">
        <f>'分析過程'!L24</f>
        <v>37.7013790826853</v>
      </c>
      <c r="D15" s="36"/>
      <c r="E15" s="35">
        <f>'分析過程'!S24</f>
        <v>18.29545141135595</v>
      </c>
      <c r="F15" s="36"/>
      <c r="G15" s="35">
        <f>'分析過程'!Z24</f>
        <v>10.62700741834246</v>
      </c>
      <c r="H15" s="51"/>
    </row>
    <row r="16" spans="2:8" ht="39.75" customHeight="1" thickBot="1">
      <c r="B16" s="57" t="s">
        <v>84</v>
      </c>
      <c r="C16" s="58">
        <f>'分析過程'!Z68</f>
        <v>27.105435406120755</v>
      </c>
      <c r="D16" s="59"/>
      <c r="E16" s="58">
        <f>'分析過程'!AG68</f>
        <v>17.679907259024198</v>
      </c>
      <c r="F16" s="59"/>
      <c r="G16" s="58">
        <f>'分析過程'!AN68</f>
        <v>7.737198892374587</v>
      </c>
      <c r="H16" s="60"/>
    </row>
    <row r="17" spans="2:8" ht="42" customHeight="1" thickBot="1">
      <c r="B17" s="56" t="s">
        <v>87</v>
      </c>
      <c r="C17" s="61">
        <f>SUM(C14:C16)</f>
        <v>164.80681448880605</v>
      </c>
      <c r="D17" s="62"/>
      <c r="E17" s="63">
        <f>SUM(E14:E16)</f>
        <v>81.5996607350903</v>
      </c>
      <c r="F17" s="62"/>
      <c r="G17" s="63">
        <f>SUM(G14:G16)</f>
        <v>45.31177171520277</v>
      </c>
      <c r="H17" s="62"/>
    </row>
  </sheetData>
  <sheetProtection sheet="1" objects="1" scenarios="1"/>
  <mergeCells count="4">
    <mergeCell ref="B2:H2"/>
    <mergeCell ref="C13:D13"/>
    <mergeCell ref="E13:F13"/>
    <mergeCell ref="G13:H13"/>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headerFooter alignWithMargins="0">
    <oddHeader>&amp;LFILE=&amp;F,SHEET=&amp;A</oddHeader>
  </headerFooter>
</worksheet>
</file>

<file path=xl/worksheets/sheet4.xml><?xml version="1.0" encoding="utf-8"?>
<worksheet xmlns="http://schemas.openxmlformats.org/spreadsheetml/2006/main" xmlns:r="http://schemas.openxmlformats.org/officeDocument/2006/relationships">
  <sheetPr codeName="Sheet4"/>
  <dimension ref="A1:AS103"/>
  <sheetViews>
    <sheetView showGridLines="0" zoomScale="85" zoomScaleNormal="85" zoomScaleSheetLayoutView="25" workbookViewId="0" topLeftCell="A1">
      <selection activeCell="A1" sqref="A1"/>
    </sheetView>
  </sheetViews>
  <sheetFormatPr defaultColWidth="8.796875" defaultRowHeight="18" customHeight="1"/>
  <cols>
    <col min="1" max="1" width="2.59765625" style="10" customWidth="1"/>
    <col min="2" max="2" width="2.59765625" style="17" customWidth="1"/>
    <col min="3" max="3" width="11.59765625" style="10" customWidth="1"/>
    <col min="4" max="4" width="2.59765625" style="17" customWidth="1"/>
    <col min="5" max="5" width="10.59765625" style="10" customWidth="1"/>
    <col min="6" max="6" width="2.59765625" style="17" customWidth="1"/>
    <col min="7" max="7" width="10.59765625" style="10" customWidth="1"/>
    <col min="8" max="8" width="2.09765625" style="17" customWidth="1"/>
    <col min="9" max="9" width="11.19921875" style="10" customWidth="1"/>
    <col min="10" max="10" width="6.09765625" style="10" customWidth="1"/>
    <col min="11" max="11" width="2.8984375" style="17" customWidth="1"/>
    <col min="12" max="12" width="10.59765625" style="10" customWidth="1"/>
    <col min="13" max="13" width="2.09765625" style="17" customWidth="1"/>
    <col min="14" max="14" width="10.59765625" style="10" customWidth="1"/>
    <col min="15" max="15" width="2.09765625" style="17" customWidth="1"/>
    <col min="16" max="16" width="11.69921875" style="10" customWidth="1"/>
    <col min="17" max="17" width="5.59765625" style="10" customWidth="1"/>
    <col min="18" max="18" width="2.59765625" style="17" customWidth="1"/>
    <col min="19" max="19" width="11.3984375" style="10" customWidth="1"/>
    <col min="20" max="20" width="2.09765625" style="10" customWidth="1"/>
    <col min="21" max="21" width="10.59765625" style="10" customWidth="1"/>
    <col min="22" max="22" width="2.09765625" style="17" customWidth="1"/>
    <col min="23" max="23" width="11.5" style="10" customWidth="1"/>
    <col min="24" max="24" width="8.59765625" style="10" customWidth="1"/>
    <col min="25" max="25" width="2.59765625" style="17" customWidth="1"/>
    <col min="26" max="26" width="10.59765625" style="10" customWidth="1"/>
    <col min="27" max="27" width="2.09765625" style="17" customWidth="1"/>
    <col min="28" max="28" width="11.19921875" style="10" customWidth="1"/>
    <col min="29" max="29" width="2.09765625" style="17" customWidth="1"/>
    <col min="30" max="30" width="11.59765625" style="10" customWidth="1"/>
    <col min="31" max="31" width="9.59765625" style="10" customWidth="1"/>
    <col min="32" max="32" width="3.19921875" style="10" customWidth="1"/>
    <col min="33" max="33" width="11.59765625" style="10" customWidth="1"/>
    <col min="34" max="34" width="2.09765625" style="10" customWidth="1"/>
    <col min="35" max="35" width="10.59765625" style="10" customWidth="1"/>
    <col min="36" max="36" width="2.09765625" style="10" customWidth="1"/>
    <col min="37" max="37" width="11.59765625" style="10" customWidth="1"/>
    <col min="38" max="38" width="9.59765625" style="10" customWidth="1"/>
    <col min="39" max="39" width="2.5" style="10" customWidth="1"/>
    <col min="40" max="40" width="10.59765625" style="10" customWidth="1"/>
    <col min="41" max="41" width="2.09765625" style="10" customWidth="1"/>
    <col min="42" max="42" width="10.59765625" style="10" customWidth="1"/>
    <col min="43" max="43" width="2.09765625" style="10" customWidth="1"/>
    <col min="44" max="44" width="11.09765625" style="10" customWidth="1"/>
    <col min="45" max="16384" width="9" style="10" customWidth="1"/>
  </cols>
  <sheetData>
    <row r="1" spans="1:7" ht="18" customHeight="1">
      <c r="A1" s="66" t="s">
        <v>72</v>
      </c>
      <c r="B1" s="24"/>
      <c r="C1" s="16"/>
      <c r="D1" s="24"/>
      <c r="E1" s="16"/>
      <c r="F1" s="24"/>
      <c r="G1" s="16"/>
    </row>
    <row r="2" spans="10:18" ht="18" customHeight="1">
      <c r="J2" s="190" t="s">
        <v>90</v>
      </c>
      <c r="K2" s="191"/>
      <c r="L2" s="191"/>
      <c r="M2" s="191"/>
      <c r="N2" s="191"/>
      <c r="O2" s="191"/>
      <c r="P2" s="191"/>
      <c r="Q2" s="191"/>
      <c r="R2" s="191"/>
    </row>
    <row r="3" spans="2:18" ht="30" customHeight="1">
      <c r="B3" s="24" t="s">
        <v>45</v>
      </c>
      <c r="C3" s="16" t="s">
        <v>158</v>
      </c>
      <c r="D3" s="17" t="s">
        <v>69</v>
      </c>
      <c r="E3" s="17" t="s">
        <v>161</v>
      </c>
      <c r="F3" s="17" t="s">
        <v>70</v>
      </c>
      <c r="G3" s="67" t="s">
        <v>160</v>
      </c>
      <c r="J3" s="191"/>
      <c r="K3" s="191"/>
      <c r="L3" s="191"/>
      <c r="M3" s="191"/>
      <c r="N3" s="191"/>
      <c r="O3" s="191"/>
      <c r="P3" s="191"/>
      <c r="Q3" s="191"/>
      <c r="R3" s="191"/>
    </row>
    <row r="4" spans="10:18" ht="9" customHeight="1" thickBot="1">
      <c r="J4" s="191"/>
      <c r="K4" s="191"/>
      <c r="L4" s="191"/>
      <c r="M4" s="191"/>
      <c r="N4" s="191"/>
      <c r="O4" s="191"/>
      <c r="P4" s="191"/>
      <c r="Q4" s="191"/>
      <c r="R4" s="191"/>
    </row>
    <row r="5" spans="3:16" ht="18" customHeight="1" thickBot="1">
      <c r="C5" s="18">
        <f>E5*G5</f>
        <v>54.375697935289836</v>
      </c>
      <c r="D5" s="17" t="s">
        <v>159</v>
      </c>
      <c r="E5" s="64">
        <f>'入力SHEET'!$L$12</f>
        <v>100</v>
      </c>
      <c r="F5" s="24" t="s">
        <v>70</v>
      </c>
      <c r="G5" s="65">
        <f>VLOOKUP('入力SHEET'!$L$6,'直波・民消'!$A$2:$H$34,3)</f>
        <v>0.5437569793528984</v>
      </c>
      <c r="J5" s="48"/>
      <c r="K5" s="48"/>
      <c r="L5" s="48"/>
      <c r="M5" s="48"/>
      <c r="N5" s="48"/>
      <c r="O5" s="48"/>
      <c r="P5" s="48"/>
    </row>
    <row r="6" spans="5:13" ht="18" customHeight="1">
      <c r="E6" s="19"/>
      <c r="J6" s="68"/>
      <c r="K6" s="68"/>
      <c r="L6" s="68"/>
      <c r="M6" s="68"/>
    </row>
    <row r="7" spans="2:13" ht="30" customHeight="1">
      <c r="B7" s="24" t="s">
        <v>46</v>
      </c>
      <c r="C7" s="16" t="s">
        <v>162</v>
      </c>
      <c r="D7" s="17" t="s">
        <v>69</v>
      </c>
      <c r="E7" s="17" t="s">
        <v>161</v>
      </c>
      <c r="F7" s="17" t="s">
        <v>70</v>
      </c>
      <c r="G7" s="67" t="s">
        <v>164</v>
      </c>
      <c r="J7" s="68"/>
      <c r="K7" s="68"/>
      <c r="L7" s="68"/>
      <c r="M7" s="68"/>
    </row>
    <row r="8" spans="10:13" ht="9" customHeight="1" thickBot="1">
      <c r="J8" s="68"/>
      <c r="K8" s="68"/>
      <c r="L8" s="68"/>
      <c r="M8" s="68"/>
    </row>
    <row r="9" spans="3:13" ht="18" customHeight="1" thickBot="1">
      <c r="C9" s="18">
        <f>E9*G9</f>
        <v>45.62430206471015</v>
      </c>
      <c r="D9" s="17" t="s">
        <v>159</v>
      </c>
      <c r="E9" s="64">
        <f>'入力SHEET'!$L$12</f>
        <v>100</v>
      </c>
      <c r="F9" s="24" t="s">
        <v>70</v>
      </c>
      <c r="G9" s="65">
        <f>VLOOKUP('入力SHEET'!$L$6,'直波・民消'!$A$2:$H$34,4)</f>
        <v>0.45624302064710154</v>
      </c>
      <c r="J9" s="68"/>
      <c r="K9" s="68"/>
      <c r="L9" s="68"/>
      <c r="M9" s="68"/>
    </row>
    <row r="10" spans="5:13" ht="18" customHeight="1">
      <c r="E10" s="19"/>
      <c r="J10" s="68"/>
      <c r="K10" s="68"/>
      <c r="L10" s="68"/>
      <c r="M10" s="68"/>
    </row>
    <row r="11" spans="2:13" ht="29.25" customHeight="1">
      <c r="B11" s="24" t="s">
        <v>47</v>
      </c>
      <c r="C11" s="16" t="s">
        <v>163</v>
      </c>
      <c r="D11" s="17" t="s">
        <v>69</v>
      </c>
      <c r="E11" s="17" t="s">
        <v>161</v>
      </c>
      <c r="F11" s="17" t="s">
        <v>70</v>
      </c>
      <c r="G11" s="67" t="s">
        <v>165</v>
      </c>
      <c r="J11" s="68"/>
      <c r="K11" s="68"/>
      <c r="L11" s="68"/>
      <c r="M11" s="68"/>
    </row>
    <row r="12" ht="9" customHeight="1" thickBot="1"/>
    <row r="13" spans="3:7" ht="18" customHeight="1" thickBot="1">
      <c r="C13" s="18">
        <f>E13*G13</f>
        <v>26.947565404485722</v>
      </c>
      <c r="D13" s="17" t="s">
        <v>159</v>
      </c>
      <c r="E13" s="64">
        <f>'入力SHEET'!$L$12</f>
        <v>100</v>
      </c>
      <c r="F13" s="24" t="s">
        <v>70</v>
      </c>
      <c r="G13" s="65">
        <f>VLOOKUP('入力SHEET'!$L$6,'直波・民消'!$A$2:$H$34,5)</f>
        <v>0.26947565404485724</v>
      </c>
    </row>
    <row r="14" spans="3:7" ht="18" customHeight="1">
      <c r="C14" s="73"/>
      <c r="E14" s="28"/>
      <c r="F14" s="24"/>
      <c r="G14" s="74"/>
    </row>
    <row r="15" spans="3:7" ht="18" customHeight="1">
      <c r="C15" s="73"/>
      <c r="E15" s="28"/>
      <c r="F15" s="24"/>
      <c r="G15" s="74"/>
    </row>
    <row r="16" spans="1:31" ht="18" customHeight="1">
      <c r="A16" s="15"/>
      <c r="B16" s="29"/>
      <c r="C16" s="15"/>
      <c r="D16" s="29"/>
      <c r="E16" s="15"/>
      <c r="F16" s="29"/>
      <c r="G16" s="15"/>
      <c r="H16" s="29"/>
      <c r="I16" s="15"/>
      <c r="J16" s="15"/>
      <c r="K16" s="29"/>
      <c r="L16" s="15"/>
      <c r="M16" s="29"/>
      <c r="N16" s="15"/>
      <c r="O16" s="29"/>
      <c r="P16" s="15"/>
      <c r="Q16" s="15"/>
      <c r="R16" s="29"/>
      <c r="S16" s="15"/>
      <c r="T16" s="15"/>
      <c r="U16" s="15"/>
      <c r="V16" s="29"/>
      <c r="W16" s="15"/>
      <c r="X16" s="15"/>
      <c r="Y16" s="29"/>
      <c r="Z16" s="15"/>
      <c r="AA16" s="29"/>
      <c r="AB16" s="15"/>
      <c r="AC16" s="29"/>
      <c r="AD16" s="15"/>
      <c r="AE16" s="15"/>
    </row>
    <row r="17" spans="1:31" ht="18" customHeight="1">
      <c r="A17" s="47"/>
      <c r="B17" s="28"/>
      <c r="C17" s="47"/>
      <c r="D17" s="28"/>
      <c r="E17" s="47"/>
      <c r="F17" s="28"/>
      <c r="G17" s="47"/>
      <c r="H17" s="28"/>
      <c r="I17" s="47"/>
      <c r="J17" s="47"/>
      <c r="K17" s="28"/>
      <c r="L17" s="47"/>
      <c r="M17" s="28"/>
      <c r="N17" s="47"/>
      <c r="O17" s="28"/>
      <c r="P17" s="47"/>
      <c r="Q17" s="47"/>
      <c r="R17" s="28"/>
      <c r="S17" s="47"/>
      <c r="T17" s="47"/>
      <c r="U17" s="47"/>
      <c r="V17" s="28"/>
      <c r="W17" s="47"/>
      <c r="X17" s="47"/>
      <c r="Y17" s="28"/>
      <c r="Z17" s="47"/>
      <c r="AA17" s="28"/>
      <c r="AB17" s="47"/>
      <c r="AC17" s="28"/>
      <c r="AD17" s="47"/>
      <c r="AE17" s="47"/>
    </row>
    <row r="18" spans="1:31" ht="18" customHeight="1">
      <c r="A18" s="47"/>
      <c r="B18" s="28"/>
      <c r="C18" s="47"/>
      <c r="D18" s="28"/>
      <c r="E18" s="47"/>
      <c r="F18" s="28"/>
      <c r="G18" s="47"/>
      <c r="H18" s="28"/>
      <c r="I18" s="47"/>
      <c r="J18" s="47"/>
      <c r="K18" s="28"/>
      <c r="L18" s="47"/>
      <c r="M18" s="28"/>
      <c r="N18" s="47"/>
      <c r="O18" s="28"/>
      <c r="P18" s="47"/>
      <c r="Q18" s="47"/>
      <c r="R18" s="28"/>
      <c r="S18" s="47"/>
      <c r="T18" s="47"/>
      <c r="U18" s="47"/>
      <c r="V18" s="28"/>
      <c r="W18" s="47"/>
      <c r="X18" s="47"/>
      <c r="Y18" s="28"/>
      <c r="Z18" s="47"/>
      <c r="AA18" s="28"/>
      <c r="AB18" s="47"/>
      <c r="AC18" s="28"/>
      <c r="AD18" s="47"/>
      <c r="AE18" s="47"/>
    </row>
    <row r="20" spans="1:29" s="16" customFormat="1" ht="18" customHeight="1">
      <c r="A20" s="66" t="s">
        <v>76</v>
      </c>
      <c r="B20" s="24"/>
      <c r="D20" s="24"/>
      <c r="F20" s="24"/>
      <c r="H20" s="24"/>
      <c r="K20" s="24"/>
      <c r="M20" s="24"/>
      <c r="O20" s="24"/>
      <c r="R20" s="24"/>
      <c r="V20" s="24"/>
      <c r="Y20" s="24"/>
      <c r="AA20" s="24"/>
      <c r="AC20" s="24"/>
    </row>
    <row r="22" spans="2:30" ht="30" customHeight="1">
      <c r="B22" s="24" t="s">
        <v>170</v>
      </c>
      <c r="C22" s="72" t="s">
        <v>171</v>
      </c>
      <c r="D22" s="17" t="s">
        <v>69</v>
      </c>
      <c r="E22" s="17" t="s">
        <v>168</v>
      </c>
      <c r="F22" s="17" t="s">
        <v>77</v>
      </c>
      <c r="G22" s="10" t="s">
        <v>167</v>
      </c>
      <c r="H22" s="17" t="s">
        <v>77</v>
      </c>
      <c r="I22" s="67" t="s">
        <v>166</v>
      </c>
      <c r="K22" s="24" t="s">
        <v>46</v>
      </c>
      <c r="L22" s="16" t="s">
        <v>173</v>
      </c>
      <c r="M22" s="17" t="s">
        <v>69</v>
      </c>
      <c r="N22" s="48" t="s">
        <v>194</v>
      </c>
      <c r="O22" s="17" t="s">
        <v>77</v>
      </c>
      <c r="P22" s="48" t="s">
        <v>174</v>
      </c>
      <c r="R22" s="24" t="s">
        <v>47</v>
      </c>
      <c r="S22" s="71" t="s">
        <v>175</v>
      </c>
      <c r="T22" s="17" t="s">
        <v>69</v>
      </c>
      <c r="U22" s="10" t="s">
        <v>172</v>
      </c>
      <c r="V22" s="10" t="s">
        <v>77</v>
      </c>
      <c r="W22" s="67" t="s">
        <v>164</v>
      </c>
      <c r="Y22" s="24" t="s">
        <v>48</v>
      </c>
      <c r="Z22" s="72" t="s">
        <v>176</v>
      </c>
      <c r="AA22" s="17" t="s">
        <v>69</v>
      </c>
      <c r="AB22" s="10" t="s">
        <v>172</v>
      </c>
      <c r="AC22" s="10" t="s">
        <v>77</v>
      </c>
      <c r="AD22" s="67" t="s">
        <v>165</v>
      </c>
    </row>
    <row r="23" spans="14:20" ht="9" customHeight="1" thickBot="1">
      <c r="N23" s="19"/>
      <c r="T23" s="17"/>
    </row>
    <row r="24" spans="3:31" ht="18" customHeight="1" thickBot="1">
      <c r="C24" s="23">
        <f>SUM(C26:C57)</f>
        <v>27.29551578428405</v>
      </c>
      <c r="D24" s="17" t="s">
        <v>159</v>
      </c>
      <c r="E24" s="64">
        <f>'入力SHEET'!$L$12</f>
        <v>100</v>
      </c>
      <c r="F24" s="24" t="s">
        <v>169</v>
      </c>
      <c r="G24" s="69"/>
      <c r="H24" s="24" t="s">
        <v>169</v>
      </c>
      <c r="I24" s="28"/>
      <c r="L24" s="23">
        <f>SUM(L26:L57)</f>
        <v>37.7013790826853</v>
      </c>
      <c r="M24" s="17" t="s">
        <v>159</v>
      </c>
      <c r="O24" s="24" t="s">
        <v>169</v>
      </c>
      <c r="P24" s="84">
        <f>C24</f>
        <v>27.29551578428405</v>
      </c>
      <c r="S24" s="23">
        <f>SUM(S26:S57)</f>
        <v>18.29545141135595</v>
      </c>
      <c r="T24" s="17" t="s">
        <v>159</v>
      </c>
      <c r="V24" s="16" t="s">
        <v>169</v>
      </c>
      <c r="Z24" s="23">
        <f>SUM(Z26:Z57)</f>
        <v>10.62700741834246</v>
      </c>
      <c r="AA24" s="17" t="s">
        <v>159</v>
      </c>
      <c r="AC24" s="16" t="s">
        <v>77</v>
      </c>
      <c r="AE24" s="19"/>
    </row>
    <row r="25" spans="3:31" ht="18" customHeight="1" thickBot="1">
      <c r="C25" s="70"/>
      <c r="E25" s="28"/>
      <c r="G25" s="69"/>
      <c r="I25" s="28"/>
      <c r="L25" s="70"/>
      <c r="P25" s="83"/>
      <c r="S25" s="70"/>
      <c r="T25" s="17"/>
      <c r="V25" s="10"/>
      <c r="Z25" s="70"/>
      <c r="AC25" s="10"/>
      <c r="AE25" s="19"/>
    </row>
    <row r="26" spans="3:30" ht="18" customHeight="1">
      <c r="C26" s="20">
        <f aca="true" t="shared" si="0" ref="C26:C57">$E$24*G26*I26</f>
        <v>0.08701506014155341</v>
      </c>
      <c r="G26" s="85">
        <f>HLOOKUP('入力SHEET'!$L$6,'投入係数表'!$A$1:$AI34,ROW()-23)</f>
        <v>0.0030331826090701144</v>
      </c>
      <c r="I26" s="85">
        <f>'直波・民消'!F3</f>
        <v>0.2868770903583339</v>
      </c>
      <c r="L26" s="21">
        <f aca="true" t="shared" si="1" ref="L26:L57">$P$24*N26</f>
        <v>0.038125487654905234</v>
      </c>
      <c r="N26" s="85">
        <f>HLOOKUP('入力SHEET'!$L$6,'逆行列係数表'!$A$1:$AH$34,ROW()-23)</f>
        <v>0.0013967674381466263</v>
      </c>
      <c r="P26" s="79"/>
      <c r="S26" s="25">
        <f aca="true" t="shared" si="2" ref="S26:S57">U26*W26</f>
        <v>0.018135471263461333</v>
      </c>
      <c r="T26" s="17"/>
      <c r="U26" s="88">
        <f aca="true" t="shared" si="3" ref="U26:U57">L26</f>
        <v>0.038125487654905234</v>
      </c>
      <c r="V26" s="10"/>
      <c r="W26" s="85">
        <f>'直波・民消'!D3</f>
        <v>0.4756784077784253</v>
      </c>
      <c r="Z26" s="25">
        <f aca="true" t="shared" si="4" ref="Z26:Z57">AB26*AD26</f>
        <v>0.0028011071454120346</v>
      </c>
      <c r="AB26" s="88">
        <f aca="true" t="shared" si="5" ref="AB26:AB57">L26</f>
        <v>0.038125487654905234</v>
      </c>
      <c r="AC26" s="10"/>
      <c r="AD26" s="85">
        <f>'直波・民消'!E3</f>
        <v>0.07347072307025675</v>
      </c>
    </row>
    <row r="27" spans="3:30" ht="18" customHeight="1">
      <c r="C27" s="21">
        <f t="shared" si="0"/>
        <v>0.9529709114854241</v>
      </c>
      <c r="G27" s="86">
        <f>HLOOKUP('入力SHEET'!$L$6,'投入係数表'!$A$1:$AI35,ROW()-23)</f>
        <v>0.020334267254506964</v>
      </c>
      <c r="I27" s="86">
        <f>'直波・民消'!F4</f>
        <v>0.4686526932875853</v>
      </c>
      <c r="L27" s="21">
        <f t="shared" si="1"/>
        <v>0.284171187824542</v>
      </c>
      <c r="N27" s="86">
        <f>HLOOKUP('入力SHEET'!$L$6,'逆行列係数表'!$A$1:$AH$34,ROW()-23)</f>
        <v>0.010410911084089473</v>
      </c>
      <c r="P27"/>
      <c r="S27" s="26">
        <f t="shared" si="2"/>
        <v>0.14872967831406045</v>
      </c>
      <c r="T27" s="17"/>
      <c r="U27" s="89">
        <f t="shared" si="3"/>
        <v>0.284171187824542</v>
      </c>
      <c r="V27" s="10"/>
      <c r="W27" s="86">
        <f>'直波・民消'!D4</f>
        <v>0.523380570186066</v>
      </c>
      <c r="Z27" s="26">
        <f t="shared" si="4"/>
        <v>0.053268519134742114</v>
      </c>
      <c r="AB27" s="89">
        <f t="shared" si="5"/>
        <v>0.284171187824542</v>
      </c>
      <c r="AC27" s="10"/>
      <c r="AD27" s="86">
        <f>'直波・民消'!E4</f>
        <v>0.18745221689269959</v>
      </c>
    </row>
    <row r="28" spans="3:30" ht="18" customHeight="1">
      <c r="C28" s="21">
        <f t="shared" si="0"/>
        <v>0</v>
      </c>
      <c r="G28" s="86">
        <f>HLOOKUP('入力SHEET'!$L$6,'投入係数表'!$A$1:$AI36,ROW()-23)</f>
        <v>0</v>
      </c>
      <c r="I28" s="86">
        <f>'直波・民消'!F5</f>
        <v>0.24313439297966113</v>
      </c>
      <c r="L28" s="21">
        <f t="shared" si="1"/>
        <v>0.004277921583068313</v>
      </c>
      <c r="N28" s="86">
        <f>HLOOKUP('入力SHEET'!$L$6,'逆行列係数表'!$A$1:$AH$34,ROW()-23)</f>
        <v>0.0001567261676561325</v>
      </c>
      <c r="P28"/>
      <c r="S28" s="26">
        <f t="shared" si="2"/>
        <v>0.0016127326625958807</v>
      </c>
      <c r="T28" s="17"/>
      <c r="U28" s="89">
        <f t="shared" si="3"/>
        <v>0.004277921583068313</v>
      </c>
      <c r="V28" s="10"/>
      <c r="W28" s="86">
        <f>'直波・民消'!D5</f>
        <v>0.37698976740923756</v>
      </c>
      <c r="Z28" s="26">
        <f t="shared" si="4"/>
        <v>0.0004982910326684517</v>
      </c>
      <c r="AB28" s="89">
        <f t="shared" si="5"/>
        <v>0.004277921583068313</v>
      </c>
      <c r="AC28" s="10"/>
      <c r="AD28" s="86">
        <f>'直波・民消'!E5</f>
        <v>0.1164797023490682</v>
      </c>
    </row>
    <row r="29" spans="3:30" ht="18" customHeight="1">
      <c r="C29" s="21">
        <f t="shared" si="0"/>
        <v>0.023885251540216448</v>
      </c>
      <c r="G29" s="86">
        <f>HLOOKUP('入力SHEET'!$L$6,'投入係数表'!$A$1:$AI37,ROW()-23)</f>
        <v>0.002185290433004255</v>
      </c>
      <c r="I29" s="86">
        <f>'直波・民消'!F6</f>
        <v>0.10930012404520482</v>
      </c>
      <c r="L29" s="21">
        <f t="shared" si="1"/>
        <v>0.010202008450169173</v>
      </c>
      <c r="N29" s="86">
        <f>HLOOKUP('入力SHEET'!$L$6,'逆行列係数表'!$A$1:$AH$34,ROW()-23)</f>
        <v>0.0003737613361401724</v>
      </c>
      <c r="P29"/>
      <c r="S29" s="26">
        <f t="shared" si="2"/>
        <v>0.003443456164626747</v>
      </c>
      <c r="T29" s="17"/>
      <c r="U29" s="89">
        <f t="shared" si="3"/>
        <v>0.010202008450169173</v>
      </c>
      <c r="V29" s="10"/>
      <c r="W29" s="86">
        <f>'直波・民消'!D6</f>
        <v>0.3375272801866427</v>
      </c>
      <c r="Z29" s="26">
        <f t="shared" si="4"/>
        <v>0.0022316222543738076</v>
      </c>
      <c r="AB29" s="89">
        <f t="shared" si="5"/>
        <v>0.010202008450169173</v>
      </c>
      <c r="AC29" s="10"/>
      <c r="AD29" s="86">
        <f>'直波・民消'!E6</f>
        <v>0.21874342344195982</v>
      </c>
    </row>
    <row r="30" spans="3:30" ht="18" customHeight="1">
      <c r="C30" s="21">
        <f t="shared" si="0"/>
        <v>0.9761492000775369</v>
      </c>
      <c r="G30" s="86">
        <f>HLOOKUP('入力SHEET'!$L$6,'投入係数表'!$A$1:$AI38,ROW()-23)</f>
        <v>0.032430115766339564</v>
      </c>
      <c r="I30" s="86">
        <f>'直波・民消'!F7</f>
        <v>0.3010008373422826</v>
      </c>
      <c r="L30" s="21">
        <f t="shared" si="1"/>
        <v>0.3222732448904563</v>
      </c>
      <c r="N30" s="86">
        <f>HLOOKUP('入力SHEET'!$L$6,'逆行列係数表'!$A$1:$AH$34,ROW()-23)</f>
        <v>0.01180682011790419</v>
      </c>
      <c r="P30"/>
      <c r="S30" s="26">
        <f t="shared" si="2"/>
        <v>0.1042085183505124</v>
      </c>
      <c r="T30" s="17"/>
      <c r="U30" s="89">
        <f t="shared" si="3"/>
        <v>0.3222732448904563</v>
      </c>
      <c r="V30" s="10"/>
      <c r="W30" s="86">
        <f>'直波・民消'!D7</f>
        <v>0.3233545446378394</v>
      </c>
      <c r="Z30" s="26">
        <f t="shared" si="4"/>
        <v>0.060290433548100694</v>
      </c>
      <c r="AB30" s="89">
        <f t="shared" si="5"/>
        <v>0.3222732448904563</v>
      </c>
      <c r="AC30" s="10"/>
      <c r="AD30" s="86">
        <f>'直波・民消'!E7</f>
        <v>0.18707861885523255</v>
      </c>
    </row>
    <row r="31" spans="3:30" ht="18" customHeight="1">
      <c r="C31" s="21">
        <f t="shared" si="0"/>
        <v>0.07908821905552765</v>
      </c>
      <c r="G31" s="86">
        <f>HLOOKUP('入力SHEET'!$L$6,'投入係数表'!$A$1:$AI39,ROW()-23)</f>
        <v>0.0037384759652938477</v>
      </c>
      <c r="I31" s="86">
        <f>'直波・民消'!F8</f>
        <v>0.21155203294000913</v>
      </c>
      <c r="L31" s="21">
        <f t="shared" si="1"/>
        <v>0.04454845398881857</v>
      </c>
      <c r="N31" s="86">
        <f>HLOOKUP('入力SHEET'!$L$6,'逆行列係数表'!$A$1:$AH$34,ROW()-23)</f>
        <v>0.0016320795818948492</v>
      </c>
      <c r="P31"/>
      <c r="S31" s="26">
        <f t="shared" si="2"/>
        <v>0.014927822599170738</v>
      </c>
      <c r="T31" s="17"/>
      <c r="U31" s="89">
        <f t="shared" si="3"/>
        <v>0.04454845398881857</v>
      </c>
      <c r="V31" s="10"/>
      <c r="W31" s="86">
        <f>'直波・民消'!D8</f>
        <v>0.3350918216582228</v>
      </c>
      <c r="Z31" s="26">
        <f t="shared" si="4"/>
        <v>0.006466657547566432</v>
      </c>
      <c r="AB31" s="89">
        <f t="shared" si="5"/>
        <v>0.04454845398881857</v>
      </c>
      <c r="AC31" s="10"/>
      <c r="AD31" s="86">
        <f>'直波・民消'!E8</f>
        <v>0.14516008903899402</v>
      </c>
    </row>
    <row r="32" spans="3:30" ht="18" customHeight="1">
      <c r="C32" s="21">
        <f t="shared" si="0"/>
        <v>0.022762716785312144</v>
      </c>
      <c r="G32" s="86">
        <f>HLOOKUP('入力SHEET'!$L$6,'投入係数表'!$A$1:$AI40,ROW()-23)</f>
        <v>0.017154241972434106</v>
      </c>
      <c r="I32" s="86">
        <f>'直波・民消'!F9</f>
        <v>0.013269439023823111</v>
      </c>
      <c r="L32" s="21">
        <f t="shared" si="1"/>
        <v>0.007661870562093817</v>
      </c>
      <c r="N32" s="86">
        <f>HLOOKUP('入力SHEET'!$L$6,'逆行列係数表'!$A$1:$AH$34,ROW()-23)</f>
        <v>0.00028070070639607753</v>
      </c>
      <c r="P32"/>
      <c r="S32" s="26">
        <f t="shared" si="2"/>
        <v>0.0024059366731359762</v>
      </c>
      <c r="T32" s="17"/>
      <c r="U32" s="89">
        <f t="shared" si="3"/>
        <v>0.007661870562093817</v>
      </c>
      <c r="V32" s="10"/>
      <c r="W32" s="86">
        <f>'直波・民消'!D9</f>
        <v>0.3140142676175004</v>
      </c>
      <c r="Z32" s="26">
        <f t="shared" si="4"/>
        <v>0.0009070425926846948</v>
      </c>
      <c r="AB32" s="89">
        <f t="shared" si="5"/>
        <v>0.007661870562093817</v>
      </c>
      <c r="AC32" s="10"/>
      <c r="AD32" s="86">
        <f>'直波・民消'!E9</f>
        <v>0.11838396189726552</v>
      </c>
    </row>
    <row r="33" spans="3:30" ht="18" customHeight="1">
      <c r="C33" s="21">
        <f t="shared" si="0"/>
        <v>1.421383555121512</v>
      </c>
      <c r="G33" s="86">
        <f>HLOOKUP('入力SHEET'!$L$6,'投入係数表'!$A$1:$AI41,ROW()-23)</f>
        <v>0.07802637417334132</v>
      </c>
      <c r="I33" s="86">
        <f>'直波・民消'!F10</f>
        <v>0.18216706468556437</v>
      </c>
      <c r="L33" s="21">
        <f t="shared" si="1"/>
        <v>0.4049377578752927</v>
      </c>
      <c r="N33" s="86">
        <f>HLOOKUP('入力SHEET'!$L$6,'逆行列係数表'!$A$1:$AH$34,ROW()-23)</f>
        <v>0.014835321709086144</v>
      </c>
      <c r="P33"/>
      <c r="S33" s="26">
        <f t="shared" si="2"/>
        <v>0.13454658009498177</v>
      </c>
      <c r="T33" s="17"/>
      <c r="U33" s="89">
        <f t="shared" si="3"/>
        <v>0.4049377578752927</v>
      </c>
      <c r="V33" s="10"/>
      <c r="W33" s="86">
        <f>'直波・民消'!D10</f>
        <v>0.332264841888164</v>
      </c>
      <c r="Z33" s="26">
        <f t="shared" si="4"/>
        <v>0.07722285167085283</v>
      </c>
      <c r="AB33" s="89">
        <f t="shared" si="5"/>
        <v>0.4049377578752927</v>
      </c>
      <c r="AC33" s="10"/>
      <c r="AD33" s="86">
        <f>'直波・民消'!E10</f>
        <v>0.19070301588086258</v>
      </c>
    </row>
    <row r="34" spans="3:30" ht="18" customHeight="1">
      <c r="C34" s="21">
        <f t="shared" si="0"/>
        <v>0.023496065894374182</v>
      </c>
      <c r="G34" s="86">
        <f>HLOOKUP('入力SHEET'!$L$6,'投入係数表'!$A$1:$AI42,ROW()-23)</f>
        <v>0.02616035639086935</v>
      </c>
      <c r="I34" s="86">
        <f>'直波・民消'!F11</f>
        <v>0.008981554204886492</v>
      </c>
      <c r="L34" s="21">
        <f t="shared" si="1"/>
        <v>0.008392414145110872</v>
      </c>
      <c r="N34" s="86">
        <f>HLOOKUP('入力SHEET'!$L$6,'逆行列係数表'!$A$1:$AH$34,ROW()-23)</f>
        <v>0.0003074649408143068</v>
      </c>
      <c r="P34"/>
      <c r="S34" s="26">
        <f t="shared" si="2"/>
        <v>0.002823390336968608</v>
      </c>
      <c r="T34" s="17"/>
      <c r="U34" s="89">
        <f t="shared" si="3"/>
        <v>0.008392414145110872</v>
      </c>
      <c r="V34" s="10"/>
      <c r="W34" s="86">
        <f>'直波・民消'!D11</f>
        <v>0.3364217122928111</v>
      </c>
      <c r="Z34" s="26">
        <f t="shared" si="4"/>
        <v>0.001506551087364709</v>
      </c>
      <c r="AB34" s="89">
        <f t="shared" si="5"/>
        <v>0.008392414145110872</v>
      </c>
      <c r="AC34" s="10"/>
      <c r="AD34" s="86">
        <f>'直波・民消'!E11</f>
        <v>0.1795134345511742</v>
      </c>
    </row>
    <row r="35" spans="3:30" ht="18" customHeight="1">
      <c r="C35" s="21">
        <f t="shared" si="0"/>
        <v>0.046082677043324034</v>
      </c>
      <c r="G35" s="86">
        <f>HLOOKUP('入力SHEET'!$L$6,'投入係数表'!$A$1:$AI43,ROW()-23)</f>
        <v>0.011127389894305484</v>
      </c>
      <c r="I35" s="86">
        <f>'直波・民消'!F12</f>
        <v>0.04141373447056722</v>
      </c>
      <c r="L35" s="21">
        <f t="shared" si="1"/>
        <v>0.01656475285798852</v>
      </c>
      <c r="N35" s="86">
        <f>HLOOKUP('入力SHEET'!$L$6,'逆行列係数表'!$A$1:$AH$34,ROW()-23)</f>
        <v>0.0006068671861304784</v>
      </c>
      <c r="P35"/>
      <c r="S35" s="26">
        <f t="shared" si="2"/>
        <v>0.005566035290067893</v>
      </c>
      <c r="T35" s="17"/>
      <c r="U35" s="89">
        <f t="shared" si="3"/>
        <v>0.01656475285798852</v>
      </c>
      <c r="V35" s="10"/>
      <c r="W35" s="86">
        <f>'直波・民消'!D12</f>
        <v>0.33601680253162464</v>
      </c>
      <c r="Z35" s="26">
        <f t="shared" si="4"/>
        <v>0.0025832718928372397</v>
      </c>
      <c r="AB35" s="89">
        <f t="shared" si="5"/>
        <v>0.01656475285798852</v>
      </c>
      <c r="AC35" s="10"/>
      <c r="AD35" s="86">
        <f>'直波・民消'!E12</f>
        <v>0.1559499205924724</v>
      </c>
    </row>
    <row r="36" spans="3:30" ht="18" customHeight="1">
      <c r="C36" s="21">
        <f t="shared" si="0"/>
        <v>2.5410482393871097</v>
      </c>
      <c r="G36" s="86">
        <f>HLOOKUP('入力SHEET'!$L$6,'投入係数表'!$A$1:$AI44,ROW()-23)</f>
        <v>0.08404741728740403</v>
      </c>
      <c r="I36" s="86">
        <f>'直波・民消'!F13</f>
        <v>0.30233507719789626</v>
      </c>
      <c r="L36" s="21">
        <f t="shared" si="1"/>
        <v>0.7262658318489207</v>
      </c>
      <c r="N36" s="86">
        <f>HLOOKUP('入力SHEET'!$L$6,'逆行列係数表'!$A$1:$AH$34,ROW()-23)</f>
        <v>0.026607514493903906</v>
      </c>
      <c r="P36"/>
      <c r="S36" s="26">
        <f t="shared" si="2"/>
        <v>0.2595851252466148</v>
      </c>
      <c r="T36" s="17"/>
      <c r="U36" s="89">
        <f t="shared" si="3"/>
        <v>0.7262658318489207</v>
      </c>
      <c r="V36" s="10"/>
      <c r="W36" s="86">
        <f>'直波・民消'!D13</f>
        <v>0.3574243945715654</v>
      </c>
      <c r="Z36" s="26">
        <f t="shared" si="4"/>
        <v>0.156036799466471</v>
      </c>
      <c r="AB36" s="89">
        <f t="shared" si="5"/>
        <v>0.7262658318489207</v>
      </c>
      <c r="AC36" s="10"/>
      <c r="AD36" s="86">
        <f>'直波・民消'!E13</f>
        <v>0.21484805235740473</v>
      </c>
    </row>
    <row r="37" spans="3:30" ht="18" customHeight="1">
      <c r="C37" s="21">
        <f t="shared" si="0"/>
        <v>0.06390826080947164</v>
      </c>
      <c r="G37" s="86">
        <f>HLOOKUP('入力SHEET'!$L$6,'投入係数表'!$A$1:$AI45,ROW()-23)</f>
        <v>0.007219289168166816</v>
      </c>
      <c r="I37" s="86">
        <f>'直波・民消'!F14</f>
        <v>0.08852431218751107</v>
      </c>
      <c r="L37" s="21">
        <f t="shared" si="1"/>
        <v>0.023238246298216646</v>
      </c>
      <c r="N37" s="86">
        <f>HLOOKUP('入力SHEET'!$L$6,'逆行列係数表'!$A$1:$AH$34,ROW()-23)</f>
        <v>0.0008513576545637779</v>
      </c>
      <c r="P37"/>
      <c r="S37" s="26">
        <f t="shared" si="2"/>
        <v>0.008357595321820066</v>
      </c>
      <c r="T37" s="17"/>
      <c r="U37" s="89">
        <f t="shared" si="3"/>
        <v>0.023238246298216646</v>
      </c>
      <c r="V37" s="10"/>
      <c r="W37" s="86">
        <f>'直波・民消'!D14</f>
        <v>0.3596482804496932</v>
      </c>
      <c r="Z37" s="26">
        <f t="shared" si="4"/>
        <v>0.004531958117458095</v>
      </c>
      <c r="AB37" s="89">
        <f t="shared" si="5"/>
        <v>0.023238246298216646</v>
      </c>
      <c r="AC37" s="10"/>
      <c r="AD37" s="86">
        <f>'直波・民消'!E14</f>
        <v>0.19502152009662999</v>
      </c>
    </row>
    <row r="38" spans="3:30" ht="18" customHeight="1">
      <c r="C38" s="21">
        <f t="shared" si="0"/>
        <v>0.7789337436279371</v>
      </c>
      <c r="G38" s="86">
        <f>HLOOKUP('入力SHEET'!$L$6,'投入係数表'!$A$1:$AI46,ROW()-23)</f>
        <v>0.012294767907869942</v>
      </c>
      <c r="I38" s="86">
        <f>'直波・民消'!F15</f>
        <v>0.6335489612043329</v>
      </c>
      <c r="L38" s="21">
        <f t="shared" si="1"/>
        <v>0.3133855476489211</v>
      </c>
      <c r="N38" s="86">
        <f>HLOOKUP('入力SHEET'!$L$6,'逆行列係数表'!$A$1:$AH$34,ROW()-23)</f>
        <v>0.011481209958646734</v>
      </c>
      <c r="P38"/>
      <c r="S38" s="26">
        <f t="shared" si="2"/>
        <v>0.1078561744386374</v>
      </c>
      <c r="T38" s="17"/>
      <c r="U38" s="89">
        <f t="shared" si="3"/>
        <v>0.3133855476489211</v>
      </c>
      <c r="V38" s="10"/>
      <c r="W38" s="86">
        <f>'直波・民消'!D15</f>
        <v>0.34416448125255056</v>
      </c>
      <c r="Z38" s="26">
        <f t="shared" si="4"/>
        <v>0.04638258414593332</v>
      </c>
      <c r="AB38" s="89">
        <f t="shared" si="5"/>
        <v>0.3133855476489211</v>
      </c>
      <c r="AC38" s="10"/>
      <c r="AD38" s="86">
        <f>'直波・民消'!E15</f>
        <v>0.14800486012805766</v>
      </c>
    </row>
    <row r="39" spans="3:30" ht="18" customHeight="1">
      <c r="C39" s="21">
        <f t="shared" si="0"/>
        <v>0</v>
      </c>
      <c r="G39" s="86">
        <f>HLOOKUP('入力SHEET'!$L$6,'投入係数表'!$A$1:$AI47,ROW()-23)</f>
        <v>0</v>
      </c>
      <c r="I39" s="86">
        <f>'直波・民消'!F16</f>
        <v>0.32257951244459165</v>
      </c>
      <c r="L39" s="21">
        <f t="shared" si="1"/>
        <v>0.04616376753072178</v>
      </c>
      <c r="N39" s="86">
        <f>HLOOKUP('入力SHEET'!$L$6,'逆行列係数表'!$A$1:$AH$34,ROW()-23)</f>
        <v>0.0016912582966210703</v>
      </c>
      <c r="P39"/>
      <c r="S39" s="26">
        <f t="shared" si="2"/>
        <v>0.013348718071901996</v>
      </c>
      <c r="T39" s="17"/>
      <c r="U39" s="89">
        <f t="shared" si="3"/>
        <v>0.04616376753072178</v>
      </c>
      <c r="V39" s="10"/>
      <c r="W39" s="86">
        <f>'直波・民消'!D16</f>
        <v>0.28916006612801876</v>
      </c>
      <c r="Z39" s="26">
        <f t="shared" si="4"/>
        <v>0.008067103376011542</v>
      </c>
      <c r="AB39" s="89">
        <f t="shared" si="5"/>
        <v>0.04616376753072178</v>
      </c>
      <c r="AC39" s="10"/>
      <c r="AD39" s="86">
        <f>'直波・民消'!E16</f>
        <v>0.174749675070236</v>
      </c>
    </row>
    <row r="40" spans="3:30" ht="18" customHeight="1">
      <c r="C40" s="21">
        <f t="shared" si="0"/>
        <v>3.0220390049156695E-05</v>
      </c>
      <c r="G40" s="86">
        <f>HLOOKUP('入力SHEET'!$L$6,'投入係数表'!$A$1:$AI48,ROW()-23)</f>
        <v>3.017080127270295E-06</v>
      </c>
      <c r="I40" s="86">
        <f>'直波・民消'!F17</f>
        <v>0.1001643601573771</v>
      </c>
      <c r="L40" s="21">
        <f t="shared" si="1"/>
        <v>0.000697850429884989</v>
      </c>
      <c r="N40" s="86">
        <f>HLOOKUP('入力SHEET'!$L$6,'逆行列係数表'!$A$1:$AH$34,ROW()-23)</f>
        <v>2.5566486282951673E-05</v>
      </c>
      <c r="P40"/>
      <c r="S40" s="26">
        <f t="shared" si="2"/>
        <v>0.00028608231702210296</v>
      </c>
      <c r="T40" s="17"/>
      <c r="U40" s="89">
        <f t="shared" si="3"/>
        <v>0.000697850429884989</v>
      </c>
      <c r="V40" s="10"/>
      <c r="W40" s="86">
        <f>'直波・民消'!D17</f>
        <v>0.4099478982469803</v>
      </c>
      <c r="Z40" s="26">
        <f t="shared" si="4"/>
        <v>0.00014874996255066626</v>
      </c>
      <c r="AB40" s="89">
        <f t="shared" si="5"/>
        <v>0.000697850429884989</v>
      </c>
      <c r="AC40" s="10"/>
      <c r="AD40" s="86">
        <f>'直波・民消'!E17</f>
        <v>0.21315450443325135</v>
      </c>
    </row>
    <row r="41" spans="3:30" ht="18" customHeight="1">
      <c r="C41" s="21">
        <f t="shared" si="0"/>
        <v>0.7335283988054082</v>
      </c>
      <c r="G41" s="86">
        <f>HLOOKUP('入力SHEET'!$L$6,'投入係数表'!$A$1:$AI49,ROW()-23)</f>
        <v>0.026875625102726425</v>
      </c>
      <c r="I41" s="86">
        <f>'直波・民消'!F18</f>
        <v>0.27293445119942333</v>
      </c>
      <c r="L41" s="21">
        <f t="shared" si="1"/>
        <v>0.2908885480552942</v>
      </c>
      <c r="N41" s="86">
        <f>HLOOKUP('入力SHEET'!$L$6,'逆行列係数表'!$A$1:$AH$34,ROW()-23)</f>
        <v>0.010657008658644919</v>
      </c>
      <c r="P41"/>
      <c r="S41" s="26">
        <f t="shared" si="2"/>
        <v>0.11983292546050939</v>
      </c>
      <c r="T41" s="17"/>
      <c r="U41" s="89">
        <f t="shared" si="3"/>
        <v>0.2908885480552942</v>
      </c>
      <c r="V41" s="10"/>
      <c r="W41" s="86">
        <f>'直波・民消'!D18</f>
        <v>0.41195477189335994</v>
      </c>
      <c r="Z41" s="26">
        <f t="shared" si="4"/>
        <v>0.07012137393210506</v>
      </c>
      <c r="AB41" s="89">
        <f t="shared" si="5"/>
        <v>0.2908885480552942</v>
      </c>
      <c r="AC41" s="10"/>
      <c r="AD41" s="86">
        <f>'直波・民消'!E18</f>
        <v>0.24105924554574037</v>
      </c>
    </row>
    <row r="42" spans="3:30" ht="18" customHeight="1">
      <c r="C42" s="21">
        <f t="shared" si="0"/>
        <v>0.3920219919575802</v>
      </c>
      <c r="G42" s="86">
        <f>HLOOKUP('入力SHEET'!$L$6,'投入係数表'!$A$1:$AI50,ROW()-23)</f>
        <v>0.003920219919575802</v>
      </c>
      <c r="I42" s="86">
        <f>'直波・民消'!F19</f>
        <v>1</v>
      </c>
      <c r="L42" s="21">
        <f t="shared" si="1"/>
        <v>27.497017026695055</v>
      </c>
      <c r="N42" s="86">
        <f>HLOOKUP('入力SHEET'!$L$6,'逆行列係数表'!$A$1:$AH$34,ROW()-23)</f>
        <v>1.0073822104701544</v>
      </c>
      <c r="P42"/>
      <c r="S42" s="26">
        <f t="shared" si="2"/>
        <v>12.545322107044134</v>
      </c>
      <c r="T42" s="17"/>
      <c r="U42" s="89">
        <f t="shared" si="3"/>
        <v>27.497017026695055</v>
      </c>
      <c r="V42" s="10"/>
      <c r="W42" s="86">
        <f>'直波・民消'!D19</f>
        <v>0.45624302064710154</v>
      </c>
      <c r="Z42" s="26">
        <f t="shared" si="4"/>
        <v>7.409776647551226</v>
      </c>
      <c r="AB42" s="89">
        <f t="shared" si="5"/>
        <v>27.497017026695055</v>
      </c>
      <c r="AC42" s="10"/>
      <c r="AD42" s="86">
        <f>'直波・民消'!E19</f>
        <v>0.26947565404485724</v>
      </c>
    </row>
    <row r="43" spans="3:30" ht="18" customHeight="1">
      <c r="C43" s="21">
        <f t="shared" si="0"/>
        <v>0.5932501372199507</v>
      </c>
      <c r="G43" s="86">
        <f>HLOOKUP('入力SHEET'!$L$6,'投入係数表'!$A$1:$AI51,ROW()-23)</f>
        <v>0.005933861839450492</v>
      </c>
      <c r="I43" s="86">
        <f>'直波・民消'!F20</f>
        <v>0.9997707281888601</v>
      </c>
      <c r="L43" s="21">
        <f t="shared" si="1"/>
        <v>0.31807065838876886</v>
      </c>
      <c r="N43" s="86">
        <f>HLOOKUP('入力SHEET'!$L$6,'逆行列係数表'!$A$1:$AH$34,ROW()-23)</f>
        <v>0.011652853930384585</v>
      </c>
      <c r="P43"/>
      <c r="S43" s="26">
        <f t="shared" si="2"/>
        <v>0.19868606430822075</v>
      </c>
      <c r="T43" s="17"/>
      <c r="U43" s="89">
        <f t="shared" si="3"/>
        <v>0.31807065838876886</v>
      </c>
      <c r="V43" s="10"/>
      <c r="W43" s="86">
        <f>'直波・民消'!D20</f>
        <v>0.6246601472600227</v>
      </c>
      <c r="Z43" s="26">
        <f t="shared" si="4"/>
        <v>0.041318122754539915</v>
      </c>
      <c r="AB43" s="89">
        <f t="shared" si="5"/>
        <v>0.31807065838876886</v>
      </c>
      <c r="AC43" s="10"/>
      <c r="AD43" s="86">
        <f>'直波・民消'!E20</f>
        <v>0.12990233982550484</v>
      </c>
    </row>
    <row r="44" spans="3:30" ht="18" customHeight="1">
      <c r="C44" s="21">
        <f t="shared" si="0"/>
        <v>0.18619899378938531</v>
      </c>
      <c r="G44" s="86">
        <f>HLOOKUP('入力SHEET'!$L$6,'投入係数表'!$A$1:$AI52,ROW()-23)</f>
        <v>0.0018619899378938532</v>
      </c>
      <c r="I44" s="86">
        <f>'直波・民消'!F21</f>
        <v>1</v>
      </c>
      <c r="L44" s="21">
        <f t="shared" si="1"/>
        <v>0.0837325252490528</v>
      </c>
      <c r="N44" s="86">
        <f>HLOOKUP('入力SHEET'!$L$6,'逆行列係数表'!$A$1:$AH$34,ROW()-23)</f>
        <v>0.003067629346548692</v>
      </c>
      <c r="P44"/>
      <c r="S44" s="26">
        <f t="shared" si="2"/>
        <v>0.056674308856004524</v>
      </c>
      <c r="T44" s="17"/>
      <c r="U44" s="89">
        <f t="shared" si="3"/>
        <v>0.0837325252490528</v>
      </c>
      <c r="V44" s="10"/>
      <c r="W44" s="86">
        <f>'直波・民消'!D21</f>
        <v>0.6768493926038095</v>
      </c>
      <c r="Z44" s="26">
        <f t="shared" si="4"/>
        <v>0.034038089971274596</v>
      </c>
      <c r="AB44" s="89">
        <f t="shared" si="5"/>
        <v>0.0837325252490528</v>
      </c>
      <c r="AC44" s="10"/>
      <c r="AD44" s="86">
        <f>'直波・民消'!E21</f>
        <v>0.40650977466680005</v>
      </c>
    </row>
    <row r="45" spans="3:30" ht="18" customHeight="1">
      <c r="C45" s="21">
        <f t="shared" si="0"/>
        <v>5.355113019876442</v>
      </c>
      <c r="G45" s="86">
        <f>HLOOKUP('入力SHEET'!$L$6,'投入係数表'!$A$1:$AI53,ROW()-23)</f>
        <v>0.054367098717005964</v>
      </c>
      <c r="I45" s="86">
        <f>'直波・民消'!F22</f>
        <v>0.9849915015239481</v>
      </c>
      <c r="L45" s="21">
        <f t="shared" si="1"/>
        <v>1.7212220937607987</v>
      </c>
      <c r="N45" s="86">
        <f>HLOOKUP('入力SHEET'!$L$6,'逆行列係数表'!$A$1:$AH$34,ROW()-23)</f>
        <v>0.06305878618904236</v>
      </c>
      <c r="P45"/>
      <c r="S45" s="26">
        <f t="shared" si="2"/>
        <v>1.1618560713145314</v>
      </c>
      <c r="T45" s="17"/>
      <c r="U45" s="89">
        <f t="shared" si="3"/>
        <v>1.7212220937607987</v>
      </c>
      <c r="V45" s="10"/>
      <c r="W45" s="86">
        <f>'直波・民消'!D22</f>
        <v>0.6750181022693731</v>
      </c>
      <c r="Z45" s="26">
        <f t="shared" si="4"/>
        <v>0.6881186356146836</v>
      </c>
      <c r="AB45" s="89">
        <f t="shared" si="5"/>
        <v>1.7212220937607987</v>
      </c>
      <c r="AC45" s="10"/>
      <c r="AD45" s="86">
        <f>'直波・民消'!E22</f>
        <v>0.3997849191623917</v>
      </c>
    </row>
    <row r="46" spans="3:30" ht="18" customHeight="1">
      <c r="C46" s="21">
        <f t="shared" si="0"/>
        <v>1.48036872800829</v>
      </c>
      <c r="G46" s="86">
        <f>HLOOKUP('入力SHEET'!$L$6,'投入係数表'!$A$1:$AI54,ROW()-23)</f>
        <v>0.014946611260988679</v>
      </c>
      <c r="I46" s="86">
        <f>'直波・民消'!F23</f>
        <v>0.9904376999970009</v>
      </c>
      <c r="L46" s="21">
        <f t="shared" si="1"/>
        <v>0.8096617809477327</v>
      </c>
      <c r="N46" s="86">
        <f>HLOOKUP('入力SHEET'!$L$6,'逆行列係数表'!$A$1:$AH$34,ROW()-23)</f>
        <v>0.029662813018316803</v>
      </c>
      <c r="P46"/>
      <c r="S46" s="26">
        <f t="shared" si="2"/>
        <v>0.539715980145328</v>
      </c>
      <c r="T46" s="17"/>
      <c r="U46" s="89">
        <f t="shared" si="3"/>
        <v>0.8096617809477327</v>
      </c>
      <c r="V46" s="10"/>
      <c r="W46" s="86">
        <f>'直波・民消'!D23</f>
        <v>0.6665943642709363</v>
      </c>
      <c r="Z46" s="26">
        <f t="shared" si="4"/>
        <v>0.3525292429301498</v>
      </c>
      <c r="AB46" s="89">
        <f t="shared" si="5"/>
        <v>0.8096617809477327</v>
      </c>
      <c r="AC46" s="10"/>
      <c r="AD46" s="86">
        <f>'直波・民消'!E23</f>
        <v>0.4354030920386338</v>
      </c>
    </row>
    <row r="47" spans="3:30" ht="18" customHeight="1">
      <c r="C47" s="21">
        <f t="shared" si="0"/>
        <v>0.2233187092495263</v>
      </c>
      <c r="G47" s="86">
        <f>HLOOKUP('入力SHEET'!$L$6,'投入係数表'!$A$1:$AI55,ROW()-23)</f>
        <v>0.002233187092495263</v>
      </c>
      <c r="I47" s="86">
        <f>'直波・民消'!F24</f>
        <v>1</v>
      </c>
      <c r="L47" s="21">
        <f t="shared" si="1"/>
        <v>0.1463783882342292</v>
      </c>
      <c r="N47" s="86">
        <f>HLOOKUP('入力SHEET'!$L$6,'逆行列係数表'!$A$1:$AH$34,ROW()-23)</f>
        <v>0.005362726588171289</v>
      </c>
      <c r="P47"/>
      <c r="S47" s="26">
        <f t="shared" si="2"/>
        <v>0.12340509304478105</v>
      </c>
      <c r="T47" s="17"/>
      <c r="U47" s="89">
        <f t="shared" si="3"/>
        <v>0.1463783882342292</v>
      </c>
      <c r="V47" s="10"/>
      <c r="W47" s="86">
        <f>'直波・民消'!D24</f>
        <v>0.8430554164000826</v>
      </c>
      <c r="Z47" s="26">
        <f t="shared" si="4"/>
        <v>0.004742918013569139</v>
      </c>
      <c r="AB47" s="89">
        <f t="shared" si="5"/>
        <v>0.1463783882342292</v>
      </c>
      <c r="AC47" s="10"/>
      <c r="AD47" s="86">
        <f>'直波・民消'!E24</f>
        <v>0.032401764159198834</v>
      </c>
    </row>
    <row r="48" spans="3:30" ht="18" customHeight="1">
      <c r="C48" s="21">
        <f t="shared" si="0"/>
        <v>1.9030747906159433</v>
      </c>
      <c r="G48" s="86">
        <f>HLOOKUP('入力SHEET'!$L$6,'投入係数表'!$A$1:$AI56,ROW()-23)</f>
        <v>0.02333303919984679</v>
      </c>
      <c r="I48" s="86">
        <f>'直波・民消'!F25</f>
        <v>0.8156137630919676</v>
      </c>
      <c r="L48" s="21">
        <f t="shared" si="1"/>
        <v>0.7292949485469403</v>
      </c>
      <c r="N48" s="86">
        <f>HLOOKUP('入力SHEET'!$L$6,'逆行列係数表'!$A$1:$AH$34,ROW()-23)</f>
        <v>0.026718489377908983</v>
      </c>
      <c r="P48"/>
      <c r="S48" s="26">
        <f t="shared" si="2"/>
        <v>0.48597250148273474</v>
      </c>
      <c r="T48" s="17"/>
      <c r="U48" s="89">
        <f t="shared" si="3"/>
        <v>0.7292949485469403</v>
      </c>
      <c r="V48" s="10"/>
      <c r="W48" s="86">
        <f>'直波・民消'!D25</f>
        <v>0.6663593412390894</v>
      </c>
      <c r="Z48" s="26">
        <f t="shared" si="4"/>
        <v>0.3334272135528606</v>
      </c>
      <c r="AB48" s="89">
        <f t="shared" si="5"/>
        <v>0.7292949485469403</v>
      </c>
      <c r="AC48" s="10"/>
      <c r="AD48" s="86">
        <f>'直波・民消'!E25</f>
        <v>0.45719117377295243</v>
      </c>
    </row>
    <row r="49" spans="3:30" ht="18" customHeight="1">
      <c r="C49" s="21">
        <f t="shared" si="0"/>
        <v>0.5211356433611548</v>
      </c>
      <c r="G49" s="86">
        <f>HLOOKUP('入力SHEET'!$L$6,'投入係数表'!$A$1:$AI57,ROW()-23)</f>
        <v>0.005485045021255065</v>
      </c>
      <c r="I49" s="86">
        <f>'直波・民消'!F26</f>
        <v>0.9501027636814378</v>
      </c>
      <c r="L49" s="21">
        <f t="shared" si="1"/>
        <v>0.33678398858319325</v>
      </c>
      <c r="N49" s="86">
        <f>HLOOKUP('入力SHEET'!$L$6,'逆行列係数表'!$A$1:$AH$34,ROW()-23)</f>
        <v>0.012338436512604883</v>
      </c>
      <c r="P49"/>
      <c r="S49" s="26">
        <f t="shared" si="2"/>
        <v>0.2533524209665298</v>
      </c>
      <c r="T49" s="17"/>
      <c r="U49" s="89">
        <f t="shared" si="3"/>
        <v>0.33678398858319325</v>
      </c>
      <c r="V49" s="10"/>
      <c r="W49" s="86">
        <f>'直波・民消'!D26</f>
        <v>0.7522697917806328</v>
      </c>
      <c r="Z49" s="26">
        <f t="shared" si="4"/>
        <v>0.13020364394334497</v>
      </c>
      <c r="AB49" s="89">
        <f t="shared" si="5"/>
        <v>0.33678398858319325</v>
      </c>
      <c r="AC49" s="10"/>
      <c r="AD49" s="86">
        <f>'直波・民消'!E26</f>
        <v>0.386608771073396</v>
      </c>
    </row>
    <row r="50" spans="3:30" ht="18" customHeight="1">
      <c r="C50" s="21">
        <f t="shared" si="0"/>
        <v>0</v>
      </c>
      <c r="G50" s="86">
        <f>HLOOKUP('入力SHEET'!$L$6,'投入係数表'!$A$1:$AI58,ROW()-23)</f>
        <v>0</v>
      </c>
      <c r="I50" s="86">
        <f>'直波・民消'!F27</f>
        <v>1</v>
      </c>
      <c r="L50" s="21">
        <f t="shared" si="1"/>
        <v>0.09249439400272176</v>
      </c>
      <c r="N50" s="86">
        <f>HLOOKUP('入力SHEET'!$L$6,'逆行列係数表'!$A$1:$AH$34,ROW()-23)</f>
        <v>0.003388629646484911</v>
      </c>
      <c r="P50"/>
      <c r="S50" s="26">
        <f t="shared" si="2"/>
        <v>0.06531641730950011</v>
      </c>
      <c r="T50" s="17"/>
      <c r="U50" s="89">
        <f t="shared" si="3"/>
        <v>0.09249439400272176</v>
      </c>
      <c r="V50" s="10"/>
      <c r="W50" s="86">
        <f>'直波・民消'!D27</f>
        <v>0.7061662278427175</v>
      </c>
      <c r="Z50" s="26">
        <f t="shared" si="4"/>
        <v>0.06119776948024436</v>
      </c>
      <c r="AB50" s="89">
        <f t="shared" si="5"/>
        <v>0.09249439400272176</v>
      </c>
      <c r="AC50" s="10"/>
      <c r="AD50" s="86">
        <f>'直波・民消'!E27</f>
        <v>0.6616376066904502</v>
      </c>
    </row>
    <row r="51" spans="3:30" ht="18" customHeight="1">
      <c r="C51" s="21">
        <f t="shared" si="0"/>
        <v>0.1689820617116924</v>
      </c>
      <c r="G51" s="86">
        <f>HLOOKUP('入力SHEET'!$L$6,'投入係数表'!$A$1:$AI59,ROW()-23)</f>
        <v>0.002024257012761153</v>
      </c>
      <c r="I51" s="86">
        <f>'直波・民消'!F28</f>
        <v>0.8347856060095615</v>
      </c>
      <c r="L51" s="21">
        <f t="shared" si="1"/>
        <v>0.1236406879608491</v>
      </c>
      <c r="N51" s="86">
        <f>HLOOKUP('入力SHEET'!$L$6,'逆行列係数表'!$A$1:$AH$34,ROW()-23)</f>
        <v>0.004529706964982056</v>
      </c>
      <c r="P51"/>
      <c r="S51" s="26">
        <f t="shared" si="2"/>
        <v>0.0769677476771696</v>
      </c>
      <c r="T51" s="17"/>
      <c r="U51" s="89">
        <f t="shared" si="3"/>
        <v>0.1236406879608491</v>
      </c>
      <c r="V51" s="10"/>
      <c r="W51" s="86">
        <f>'直波・民消'!D28</f>
        <v>0.6225114802138717</v>
      </c>
      <c r="Z51" s="26">
        <f t="shared" si="4"/>
        <v>0.06887163493083336</v>
      </c>
      <c r="AB51" s="89">
        <f t="shared" si="5"/>
        <v>0.1236406879608491</v>
      </c>
      <c r="AC51" s="10"/>
      <c r="AD51" s="86">
        <f>'直波・民消'!E28</f>
        <v>0.5570305056264456</v>
      </c>
    </row>
    <row r="52" spans="3:30" ht="18" customHeight="1">
      <c r="C52" s="21">
        <f t="shared" si="0"/>
        <v>2.1784707145084527E-05</v>
      </c>
      <c r="G52" s="86">
        <f>HLOOKUP('入力SHEET'!$L$6,'投入係数表'!$A$1:$AI60,ROW()-23)</f>
        <v>2.2748348483709617E-07</v>
      </c>
      <c r="I52" s="86">
        <f>'直波・民消'!F29</f>
        <v>0.9576390638065366</v>
      </c>
      <c r="L52" s="21">
        <f t="shared" si="1"/>
        <v>0.08742159665071544</v>
      </c>
      <c r="N52" s="86">
        <f>HLOOKUP('入力SHEET'!$L$6,'逆行列係数表'!$A$1:$AH$34,ROW()-23)</f>
        <v>0.0032027823669501868</v>
      </c>
      <c r="P52"/>
      <c r="S52" s="26">
        <f t="shared" si="2"/>
        <v>0.05049260125400609</v>
      </c>
      <c r="T52" s="17"/>
      <c r="U52" s="89">
        <f t="shared" si="3"/>
        <v>0.08742159665071544</v>
      </c>
      <c r="V52" s="10"/>
      <c r="W52" s="86">
        <f>'直波・民消'!D29</f>
        <v>0.5775758300977322</v>
      </c>
      <c r="Z52" s="26">
        <f t="shared" si="4"/>
        <v>0.03815772489089364</v>
      </c>
      <c r="AB52" s="89">
        <f t="shared" si="5"/>
        <v>0.08742159665071544</v>
      </c>
      <c r="AC52" s="10"/>
      <c r="AD52" s="86">
        <f>'直波・民消'!E29</f>
        <v>0.4364793867052</v>
      </c>
    </row>
    <row r="53" spans="3:30" ht="18" customHeight="1">
      <c r="C53" s="21">
        <f t="shared" si="0"/>
        <v>0.11900906751253687</v>
      </c>
      <c r="G53" s="86">
        <f>HLOOKUP('入力SHEET'!$L$6,'投入係数表'!$A$1:$AI61,ROW()-23)</f>
        <v>0.0012681116526809379</v>
      </c>
      <c r="I53" s="86">
        <f>'直波・民消'!F30</f>
        <v>0.9384746781636903</v>
      </c>
      <c r="L53" s="21">
        <f t="shared" si="1"/>
        <v>0.04848942827073085</v>
      </c>
      <c r="N53" s="86">
        <f>HLOOKUP('入力SHEET'!$L$6,'逆行列係数表'!$A$1:$AH$34,ROW()-23)</f>
        <v>0.001776461329910081</v>
      </c>
      <c r="P53"/>
      <c r="S53" s="26">
        <f t="shared" si="2"/>
        <v>0.029436741984426702</v>
      </c>
      <c r="T53" s="17"/>
      <c r="U53" s="89">
        <f t="shared" si="3"/>
        <v>0.04848942827073085</v>
      </c>
      <c r="V53" s="10"/>
      <c r="W53" s="86">
        <f>'直波・民消'!D30</f>
        <v>0.6070754602440896</v>
      </c>
      <c r="Z53" s="26">
        <f t="shared" si="4"/>
        <v>0.023816079998443245</v>
      </c>
      <c r="AB53" s="89">
        <f t="shared" si="5"/>
        <v>0.04848942827073085</v>
      </c>
      <c r="AC53" s="10"/>
      <c r="AD53" s="86">
        <f>'直波・民消'!E30</f>
        <v>0.49116025591126816</v>
      </c>
    </row>
    <row r="54" spans="3:30" ht="18" customHeight="1">
      <c r="C54" s="21">
        <f t="shared" si="0"/>
        <v>7.173290169468496</v>
      </c>
      <c r="G54" s="86">
        <f>HLOOKUP('入力SHEET'!$L$6,'投入係数表'!$A$1:$AI62,ROW()-23)</f>
        <v>0.08705129627865663</v>
      </c>
      <c r="I54" s="86">
        <f>'直波・民消'!F31</f>
        <v>0.8240302529793866</v>
      </c>
      <c r="L54" s="21">
        <f t="shared" si="1"/>
        <v>2.6693598038612865</v>
      </c>
      <c r="N54" s="86">
        <f>HLOOKUP('入力SHEET'!$L$6,'逆行列係数表'!$A$1:$AH$34,ROW()-23)</f>
        <v>0.09779481087506048</v>
      </c>
      <c r="P54"/>
      <c r="S54" s="26">
        <f t="shared" si="2"/>
        <v>1.6224442663775402</v>
      </c>
      <c r="T54" s="17"/>
      <c r="U54" s="89">
        <f t="shared" si="3"/>
        <v>2.6693598038612865</v>
      </c>
      <c r="V54" s="10"/>
      <c r="W54" s="86">
        <f>'直波・民消'!D31</f>
        <v>0.6078027638052539</v>
      </c>
      <c r="Z54" s="26">
        <f t="shared" si="4"/>
        <v>0.8827353776002929</v>
      </c>
      <c r="AB54" s="89">
        <f t="shared" si="5"/>
        <v>2.6693598038612865</v>
      </c>
      <c r="AC54" s="10"/>
      <c r="AD54" s="86">
        <f>'直波・民消'!E31</f>
        <v>0.3306917922130232</v>
      </c>
    </row>
    <row r="55" spans="3:30" ht="18" customHeight="1">
      <c r="C55" s="21">
        <f t="shared" si="0"/>
        <v>0.03215019805611226</v>
      </c>
      <c r="G55" s="86">
        <f>HLOOKUP('入力SHEET'!$L$6,'投入係数表'!$A$1:$AI63,ROW()-23)</f>
        <v>0.00040826100381637315</v>
      </c>
      <c r="I55" s="86">
        <f>'直波・民消'!F32</f>
        <v>0.787491280224567</v>
      </c>
      <c r="L55" s="21">
        <f t="shared" si="1"/>
        <v>0.03607378606147191</v>
      </c>
      <c r="N55" s="86">
        <f>HLOOKUP('入力SHEET'!$L$6,'逆行列係数表'!$A$1:$AH$34,ROW()-23)</f>
        <v>0.001321601187043409</v>
      </c>
      <c r="P55"/>
      <c r="S55" s="26">
        <f t="shared" si="2"/>
        <v>0.021141227385038684</v>
      </c>
      <c r="T55" s="17"/>
      <c r="U55" s="89">
        <f t="shared" si="3"/>
        <v>0.03607378606147191</v>
      </c>
      <c r="V55" s="10"/>
      <c r="W55" s="86">
        <f>'直波・民消'!D32</f>
        <v>0.5860551301438878</v>
      </c>
      <c r="Z55" s="26">
        <f t="shared" si="4"/>
        <v>0.01068033891943809</v>
      </c>
      <c r="AB55" s="89">
        <f t="shared" si="5"/>
        <v>0.03607378606147191</v>
      </c>
      <c r="AC55" s="10"/>
      <c r="AD55" s="86">
        <f>'直波・民消'!E32</f>
        <v>0.2960692537577882</v>
      </c>
    </row>
    <row r="56" spans="3:30" ht="18" customHeight="1">
      <c r="C56" s="21">
        <f t="shared" si="0"/>
        <v>0.05657601129014053</v>
      </c>
      <c r="G56" s="86">
        <f>HLOOKUP('入力SHEET'!$L$6,'投入係数表'!$A$1:$AI64,ROW()-23)</f>
        <v>0.0005657601129014054</v>
      </c>
      <c r="I56" s="86">
        <f>'直波・民消'!F33</f>
        <v>1</v>
      </c>
      <c r="L56" s="21">
        <f t="shared" si="1"/>
        <v>0.04076913748905309</v>
      </c>
      <c r="N56" s="86">
        <f>HLOOKUP('入力SHEET'!$L$6,'逆行列係数表'!$A$1:$AH$34,ROW()-23)</f>
        <v>0.0014936203371737253</v>
      </c>
      <c r="P56"/>
      <c r="S56" s="26">
        <f t="shared" si="2"/>
        <v>0</v>
      </c>
      <c r="T56" s="17"/>
      <c r="U56" s="89">
        <f t="shared" si="3"/>
        <v>0.04076913748905309</v>
      </c>
      <c r="V56" s="10"/>
      <c r="W56" s="86">
        <f>'直波・民消'!D33</f>
        <v>0</v>
      </c>
      <c r="Z56" s="26">
        <f t="shared" si="4"/>
        <v>0</v>
      </c>
      <c r="AB56" s="89">
        <f t="shared" si="5"/>
        <v>0.04076913748905309</v>
      </c>
      <c r="AC56" s="10"/>
      <c r="AD56" s="86">
        <f>'直波・民消'!E33</f>
        <v>0</v>
      </c>
    </row>
    <row r="57" spans="3:30" ht="18" customHeight="1" thickBot="1">
      <c r="C57" s="22">
        <f t="shared" si="0"/>
        <v>1.340721957294899</v>
      </c>
      <c r="G57" s="87">
        <f>HLOOKUP('入力SHEET'!$L$6,'投入係数表'!$A$1:$AI65,ROW()-23)</f>
        <v>0.015728201814625673</v>
      </c>
      <c r="I57" s="87">
        <f>'直波・民消'!F34</f>
        <v>0.8524318120385256</v>
      </c>
      <c r="L57" s="22">
        <f t="shared" si="1"/>
        <v>0.4191739463382947</v>
      </c>
      <c r="N57" s="87">
        <f>HLOOKUP('入力SHEET'!$L$6,'逆行列係数表'!$A$1:$AH$34,ROW()-23)</f>
        <v>0.015356879483466023</v>
      </c>
      <c r="P57"/>
      <c r="S57" s="27">
        <f t="shared" si="2"/>
        <v>0.11900161959991219</v>
      </c>
      <c r="T57" s="17"/>
      <c r="U57" s="90">
        <f t="shared" si="3"/>
        <v>0.4191739463382947</v>
      </c>
      <c r="V57" s="10"/>
      <c r="W57" s="87">
        <f>'直波・民消'!D34</f>
        <v>0.2838955537181021</v>
      </c>
      <c r="Z57" s="27">
        <f t="shared" si="4"/>
        <v>0.05432906128353316</v>
      </c>
      <c r="AB57" s="90">
        <f t="shared" si="5"/>
        <v>0.4191739463382947</v>
      </c>
      <c r="AC57" s="10"/>
      <c r="AD57" s="87">
        <f>'直波・民消'!E34</f>
        <v>0.1296098236975989</v>
      </c>
    </row>
    <row r="58" spans="1:31" ht="18" customHeight="1">
      <c r="A58" s="47"/>
      <c r="B58" s="28"/>
      <c r="C58" s="47"/>
      <c r="D58" s="28"/>
      <c r="E58" s="47"/>
      <c r="F58" s="28"/>
      <c r="G58" s="47"/>
      <c r="H58" s="28"/>
      <c r="L58" s="47"/>
      <c r="M58" s="28"/>
      <c r="N58" s="47"/>
      <c r="O58" s="28"/>
      <c r="P58" s="47"/>
      <c r="S58" s="47"/>
      <c r="T58" s="28"/>
      <c r="U58" s="47"/>
      <c r="V58" s="47"/>
      <c r="W58" s="47"/>
      <c r="Z58" s="47"/>
      <c r="AA58" s="28"/>
      <c r="AB58" s="47"/>
      <c r="AC58" s="28"/>
      <c r="AD58" s="47"/>
      <c r="AE58" s="47"/>
    </row>
    <row r="59" spans="1:45" ht="18" customHeight="1">
      <c r="A59" s="15"/>
      <c r="B59" s="29"/>
      <c r="C59" s="15"/>
      <c r="D59" s="29"/>
      <c r="E59" s="15"/>
      <c r="F59" s="29"/>
      <c r="G59" s="15"/>
      <c r="H59" s="29"/>
      <c r="I59" s="15"/>
      <c r="J59" s="15"/>
      <c r="K59" s="29"/>
      <c r="L59" s="15"/>
      <c r="M59" s="29"/>
      <c r="N59" s="15"/>
      <c r="O59" s="29"/>
      <c r="P59" s="15"/>
      <c r="Q59" s="15"/>
      <c r="R59" s="29"/>
      <c r="S59" s="15"/>
      <c r="T59" s="15"/>
      <c r="U59" s="15"/>
      <c r="V59" s="29"/>
      <c r="W59" s="15"/>
      <c r="X59" s="15"/>
      <c r="Y59" s="29"/>
      <c r="Z59" s="15"/>
      <c r="AA59" s="29"/>
      <c r="AB59" s="15"/>
      <c r="AC59" s="29"/>
      <c r="AD59" s="15"/>
      <c r="AE59" s="15"/>
      <c r="AF59" s="15"/>
      <c r="AG59" s="15"/>
      <c r="AH59" s="15"/>
      <c r="AI59" s="15"/>
      <c r="AJ59" s="15"/>
      <c r="AK59" s="15"/>
      <c r="AL59" s="15"/>
      <c r="AM59" s="15"/>
      <c r="AN59" s="15"/>
      <c r="AO59" s="15"/>
      <c r="AP59" s="15"/>
      <c r="AQ59" s="15"/>
      <c r="AR59" s="15"/>
      <c r="AS59" s="15"/>
    </row>
    <row r="60" spans="1:45" ht="18" customHeight="1">
      <c r="A60" s="47"/>
      <c r="B60" s="28"/>
      <c r="C60" s="47"/>
      <c r="D60" s="28"/>
      <c r="E60" s="47"/>
      <c r="F60" s="28"/>
      <c r="G60" s="47"/>
      <c r="H60" s="28"/>
      <c r="I60" s="47"/>
      <c r="J60" s="47"/>
      <c r="K60" s="28"/>
      <c r="L60" s="47"/>
      <c r="M60" s="28"/>
      <c r="N60" s="47"/>
      <c r="O60" s="28"/>
      <c r="P60" s="47"/>
      <c r="Q60" s="47"/>
      <c r="R60" s="28"/>
      <c r="S60" s="47"/>
      <c r="T60" s="47"/>
      <c r="U60" s="47"/>
      <c r="V60" s="28"/>
      <c r="W60" s="47"/>
      <c r="X60" s="47"/>
      <c r="Y60" s="28"/>
      <c r="Z60" s="47"/>
      <c r="AA60" s="28"/>
      <c r="AB60" s="47"/>
      <c r="AC60" s="28"/>
      <c r="AD60" s="47"/>
      <c r="AE60" s="47"/>
      <c r="AF60" s="47"/>
      <c r="AG60" s="47"/>
      <c r="AH60" s="47"/>
      <c r="AI60" s="47"/>
      <c r="AJ60" s="47"/>
      <c r="AK60" s="47"/>
      <c r="AL60" s="47"/>
      <c r="AM60" s="47"/>
      <c r="AN60" s="47"/>
      <c r="AO60" s="47"/>
      <c r="AP60" s="47"/>
      <c r="AQ60" s="47"/>
      <c r="AR60" s="47"/>
      <c r="AS60" s="47"/>
    </row>
    <row r="61" spans="1:45" ht="18" customHeight="1">
      <c r="A61" s="47"/>
      <c r="B61" s="28"/>
      <c r="C61" s="47"/>
      <c r="D61" s="28"/>
      <c r="E61" s="47"/>
      <c r="F61" s="28"/>
      <c r="G61" s="47"/>
      <c r="H61" s="28"/>
      <c r="I61" s="47"/>
      <c r="J61" s="47"/>
      <c r="K61" s="28"/>
      <c r="L61" s="47"/>
      <c r="M61" s="28"/>
      <c r="N61" s="47"/>
      <c r="O61" s="28"/>
      <c r="P61" s="47"/>
      <c r="Q61" s="47"/>
      <c r="R61" s="28"/>
      <c r="S61" s="47"/>
      <c r="T61" s="47"/>
      <c r="U61" s="47"/>
      <c r="V61" s="28"/>
      <c r="W61" s="47"/>
      <c r="X61" s="47"/>
      <c r="Y61" s="28"/>
      <c r="Z61" s="47"/>
      <c r="AA61" s="28"/>
      <c r="AB61" s="47"/>
      <c r="AC61" s="28"/>
      <c r="AD61" s="47"/>
      <c r="AE61" s="47"/>
      <c r="AF61" s="47"/>
      <c r="AG61" s="47"/>
      <c r="AH61" s="47"/>
      <c r="AI61" s="47"/>
      <c r="AJ61" s="47"/>
      <c r="AK61" s="47"/>
      <c r="AL61" s="47"/>
      <c r="AM61" s="47"/>
      <c r="AN61" s="47"/>
      <c r="AO61" s="47"/>
      <c r="AP61" s="47"/>
      <c r="AQ61" s="47"/>
      <c r="AR61" s="47"/>
      <c r="AS61" s="47"/>
    </row>
    <row r="62" spans="1:45" ht="18" customHeight="1">
      <c r="A62" s="47"/>
      <c r="B62" s="28"/>
      <c r="C62" s="47"/>
      <c r="D62" s="28"/>
      <c r="E62" s="47"/>
      <c r="F62" s="28"/>
      <c r="G62" s="47"/>
      <c r="H62" s="28"/>
      <c r="I62" s="47"/>
      <c r="J62" s="47"/>
      <c r="K62" s="28"/>
      <c r="L62" s="47"/>
      <c r="M62" s="28"/>
      <c r="N62" s="47"/>
      <c r="O62" s="28"/>
      <c r="P62" s="47"/>
      <c r="Q62" s="47"/>
      <c r="R62" s="28"/>
      <c r="S62" s="47"/>
      <c r="T62" s="47"/>
      <c r="U62" s="47"/>
      <c r="V62" s="28"/>
      <c r="W62" s="47"/>
      <c r="X62" s="47"/>
      <c r="Y62" s="28"/>
      <c r="Z62" s="47"/>
      <c r="AA62" s="28"/>
      <c r="AB62" s="47"/>
      <c r="AC62" s="28"/>
      <c r="AD62" s="47"/>
      <c r="AE62" s="47"/>
      <c r="AF62" s="47"/>
      <c r="AG62" s="47"/>
      <c r="AH62" s="47"/>
      <c r="AI62" s="47"/>
      <c r="AJ62" s="47"/>
      <c r="AK62" s="47"/>
      <c r="AL62" s="47"/>
      <c r="AM62" s="47"/>
      <c r="AN62" s="47"/>
      <c r="AO62" s="47"/>
      <c r="AP62" s="47"/>
      <c r="AQ62" s="47"/>
      <c r="AR62" s="47"/>
      <c r="AS62" s="47"/>
    </row>
    <row r="63" spans="1:45" ht="18" customHeight="1">
      <c r="A63" s="47"/>
      <c r="B63" s="28"/>
      <c r="C63" s="47"/>
      <c r="D63" s="28"/>
      <c r="E63" s="47"/>
      <c r="F63" s="28"/>
      <c r="G63" s="47"/>
      <c r="H63" s="28"/>
      <c r="I63" s="47"/>
      <c r="J63" s="47"/>
      <c r="K63" s="28"/>
      <c r="L63" s="47"/>
      <c r="M63" s="28"/>
      <c r="N63" s="47"/>
      <c r="O63" s="28"/>
      <c r="P63" s="47"/>
      <c r="Q63" s="47"/>
      <c r="R63" s="28"/>
      <c r="S63" s="47"/>
      <c r="T63" s="47"/>
      <c r="U63" s="47"/>
      <c r="V63" s="28"/>
      <c r="W63" s="47"/>
      <c r="X63" s="47"/>
      <c r="Y63" s="28"/>
      <c r="Z63" s="47"/>
      <c r="AA63" s="28"/>
      <c r="AB63" s="47"/>
      <c r="AC63" s="28"/>
      <c r="AD63" s="47"/>
      <c r="AE63" s="47"/>
      <c r="AF63" s="47"/>
      <c r="AG63" s="47"/>
      <c r="AH63" s="47"/>
      <c r="AI63" s="47"/>
      <c r="AJ63" s="47"/>
      <c r="AK63" s="47"/>
      <c r="AL63" s="47"/>
      <c r="AM63" s="47"/>
      <c r="AN63" s="47"/>
      <c r="AO63" s="47"/>
      <c r="AP63" s="47"/>
      <c r="AQ63" s="47"/>
      <c r="AR63" s="47"/>
      <c r="AS63" s="47"/>
    </row>
    <row r="64" ht="18" customHeight="1">
      <c r="A64" s="66" t="s">
        <v>79</v>
      </c>
    </row>
    <row r="65" ht="18" customHeight="1">
      <c r="N65" s="19"/>
    </row>
    <row r="66" spans="2:44" ht="29.25" customHeight="1">
      <c r="B66" s="24" t="s">
        <v>45</v>
      </c>
      <c r="C66" s="16" t="s">
        <v>179</v>
      </c>
      <c r="D66" s="10" t="s">
        <v>69</v>
      </c>
      <c r="E66" s="10" t="s">
        <v>178</v>
      </c>
      <c r="G66" s="10" t="s">
        <v>177</v>
      </c>
      <c r="K66" s="16" t="s">
        <v>183</v>
      </c>
      <c r="L66" s="72" t="s">
        <v>184</v>
      </c>
      <c r="M66" s="10" t="s">
        <v>78</v>
      </c>
      <c r="N66" s="10" t="s">
        <v>182</v>
      </c>
      <c r="O66" s="10" t="s">
        <v>77</v>
      </c>
      <c r="P66" s="48" t="s">
        <v>138</v>
      </c>
      <c r="R66" s="16" t="s">
        <v>187</v>
      </c>
      <c r="S66" s="72" t="s">
        <v>186</v>
      </c>
      <c r="T66" s="10" t="s">
        <v>78</v>
      </c>
      <c r="U66" s="48" t="s">
        <v>185</v>
      </c>
      <c r="V66" s="10" t="s">
        <v>77</v>
      </c>
      <c r="W66" s="67" t="s">
        <v>166</v>
      </c>
      <c r="Y66" s="16" t="s">
        <v>188</v>
      </c>
      <c r="Z66" s="16" t="s">
        <v>189</v>
      </c>
      <c r="AA66" s="10" t="s">
        <v>78</v>
      </c>
      <c r="AB66" s="10" t="s">
        <v>180</v>
      </c>
      <c r="AC66" s="10" t="s">
        <v>77</v>
      </c>
      <c r="AD66" s="67" t="s">
        <v>195</v>
      </c>
      <c r="AE66" s="17"/>
      <c r="AF66" s="24" t="s">
        <v>141</v>
      </c>
      <c r="AG66" s="71" t="s">
        <v>175</v>
      </c>
      <c r="AH66" s="10" t="s">
        <v>78</v>
      </c>
      <c r="AI66" s="10" t="s">
        <v>180</v>
      </c>
      <c r="AJ66" s="17" t="s">
        <v>77</v>
      </c>
      <c r="AK66" s="67" t="s">
        <v>190</v>
      </c>
      <c r="AM66" s="24" t="s">
        <v>142</v>
      </c>
      <c r="AN66" s="71" t="s">
        <v>193</v>
      </c>
      <c r="AO66" s="10" t="s">
        <v>78</v>
      </c>
      <c r="AP66" s="10" t="s">
        <v>192</v>
      </c>
      <c r="AQ66" s="17" t="s">
        <v>77</v>
      </c>
      <c r="AR66" s="67" t="s">
        <v>191</v>
      </c>
    </row>
    <row r="67" spans="11:43" ht="9" customHeight="1" thickBot="1">
      <c r="K67" s="10"/>
      <c r="M67" s="10"/>
      <c r="O67" s="10"/>
      <c r="R67" s="10"/>
      <c r="V67" s="10"/>
      <c r="Y67" s="10"/>
      <c r="AA67" s="10"/>
      <c r="AC67" s="10"/>
      <c r="AE67" s="17"/>
      <c r="AF67" s="17"/>
      <c r="AJ67" s="17"/>
      <c r="AM67" s="17"/>
      <c r="AQ67" s="17"/>
    </row>
    <row r="68" spans="2:45" ht="18" customHeight="1" thickBot="1">
      <c r="B68" s="10"/>
      <c r="C68" s="30">
        <f>$E$68+$G$68</f>
        <v>37.57457282282818</v>
      </c>
      <c r="D68" s="17" t="s">
        <v>159</v>
      </c>
      <c r="E68" s="91">
        <f>$C$13</f>
        <v>26.947565404485722</v>
      </c>
      <c r="F68" s="10" t="s">
        <v>80</v>
      </c>
      <c r="G68" s="91">
        <f>$Z$24</f>
        <v>10.62700741834246</v>
      </c>
      <c r="L68" s="80">
        <f>SUM(L70:L101)</f>
        <v>27.016117740457723</v>
      </c>
      <c r="M68" s="10"/>
      <c r="N68" s="93">
        <f>C74</f>
        <v>27.016117859613466</v>
      </c>
      <c r="O68" s="16" t="s">
        <v>77</v>
      </c>
      <c r="S68" s="43">
        <f>SUM(S70:S101)</f>
        <v>20.569429586235966</v>
      </c>
      <c r="U68" s="81"/>
      <c r="V68" s="16" t="s">
        <v>77</v>
      </c>
      <c r="Y68" s="10"/>
      <c r="Z68" s="43">
        <f>SUM(Z70:Z101)</f>
        <v>27.105435406120755</v>
      </c>
      <c r="AA68" s="17" t="s">
        <v>159</v>
      </c>
      <c r="AB68" s="94">
        <f>C74</f>
        <v>27.016117859613466</v>
      </c>
      <c r="AC68" s="10" t="s">
        <v>77</v>
      </c>
      <c r="AG68" s="18">
        <f>SUM(AG70:AG101)</f>
        <v>17.679907259024198</v>
      </c>
      <c r="AH68" s="17" t="s">
        <v>159</v>
      </c>
      <c r="AI68" s="94">
        <f>C74</f>
        <v>27.016117859613466</v>
      </c>
      <c r="AJ68" s="24" t="s">
        <v>77</v>
      </c>
      <c r="AN68" s="18">
        <f>SUM(AN70:AN101)</f>
        <v>7.737198892374587</v>
      </c>
      <c r="AO68" s="17" t="s">
        <v>159</v>
      </c>
      <c r="AQ68" s="17" t="s">
        <v>77</v>
      </c>
      <c r="AS68" s="19"/>
    </row>
    <row r="69" spans="2:45" ht="18" customHeight="1" thickBot="1">
      <c r="B69" s="10"/>
      <c r="C69" s="75"/>
      <c r="E69" s="73"/>
      <c r="F69" s="10"/>
      <c r="G69" s="73"/>
      <c r="L69" s="44"/>
      <c r="M69" s="10"/>
      <c r="N69" s="76"/>
      <c r="O69" s="16"/>
      <c r="S69" s="77"/>
      <c r="V69" s="10"/>
      <c r="Y69" s="10"/>
      <c r="Z69" s="77"/>
      <c r="AA69" s="10"/>
      <c r="AB69" s="82"/>
      <c r="AC69" s="10"/>
      <c r="AG69" s="78"/>
      <c r="AH69" s="17"/>
      <c r="AI69" s="73"/>
      <c r="AJ69" s="17"/>
      <c r="AN69" s="78"/>
      <c r="AO69" s="17"/>
      <c r="AQ69" s="17"/>
      <c r="AS69" s="19"/>
    </row>
    <row r="70" spans="12:44" ht="18" customHeight="1">
      <c r="L70" s="20">
        <f aca="true" t="shared" si="6" ref="L70:L101">N$68*P70</f>
        <v>0.3219299847067232</v>
      </c>
      <c r="M70" s="10"/>
      <c r="O70" s="10"/>
      <c r="P70" s="85">
        <f>'直波・民消'!I3</f>
        <v>0.011916219287301006</v>
      </c>
      <c r="S70" s="21">
        <f aca="true" t="shared" si="7" ref="S70:S101">U70*W70</f>
        <v>0.09235433731176769</v>
      </c>
      <c r="U70" s="88">
        <f aca="true" t="shared" si="8" ref="U70:U101">L70</f>
        <v>0.3219299847067232</v>
      </c>
      <c r="V70" s="10"/>
      <c r="W70" s="88">
        <f>'直波・民消'!F3</f>
        <v>0.2868770903583339</v>
      </c>
      <c r="Y70" s="10"/>
      <c r="Z70" s="21">
        <f>$AB$68*AD70</f>
        <v>0.17908951731283432</v>
      </c>
      <c r="AA70" s="10"/>
      <c r="AB70" s="79"/>
      <c r="AC70" s="10"/>
      <c r="AD70" s="95">
        <f>'直波・民消'!G3</f>
        <v>0.006628987859893673</v>
      </c>
      <c r="AG70" s="20">
        <f aca="true" t="shared" si="9" ref="AG70:AG101">$AI$68*AK70</f>
        <v>0.08518901644517576</v>
      </c>
      <c r="AH70" s="17"/>
      <c r="AJ70" s="17"/>
      <c r="AK70" s="85">
        <f>'直波・民消'!H3</f>
        <v>0.0031532663903767336</v>
      </c>
      <c r="AN70" s="20">
        <f aca="true" t="shared" si="10" ref="AN70:AN101">AP70*AR70</f>
        <v>0.013157836331277201</v>
      </c>
      <c r="AO70" s="17"/>
      <c r="AP70" s="88">
        <f aca="true" t="shared" si="11" ref="AP70:AP101">Z70</f>
        <v>0.17908951731283432</v>
      </c>
      <c r="AQ70" s="17"/>
      <c r="AR70" s="85">
        <f>'直波・民消'!E3</f>
        <v>0.07347072307025675</v>
      </c>
    </row>
    <row r="71" spans="2:44" ht="18" customHeight="1">
      <c r="B71" s="10"/>
      <c r="D71" s="10"/>
      <c r="F71" s="10"/>
      <c r="H71" s="10"/>
      <c r="L71" s="21">
        <f t="shared" si="6"/>
        <v>1.0604861219583087E-05</v>
      </c>
      <c r="M71" s="10"/>
      <c r="O71" s="10"/>
      <c r="P71" s="86">
        <f>'直波・民消'!I4</f>
        <v>3.9253830897134E-07</v>
      </c>
      <c r="S71" s="21">
        <f t="shared" si="7"/>
        <v>4.96999677249868E-06</v>
      </c>
      <c r="U71" s="89">
        <f t="shared" si="8"/>
        <v>1.0604861219583087E-05</v>
      </c>
      <c r="V71" s="10"/>
      <c r="W71" s="89">
        <f>'直波・民消'!F4</f>
        <v>0.4686526932875853</v>
      </c>
      <c r="Y71" s="10"/>
      <c r="Z71" s="21">
        <f>$AB$68*AD71</f>
        <v>0.00820188519956757</v>
      </c>
      <c r="AA71" s="10"/>
      <c r="AB71"/>
      <c r="AC71" s="10"/>
      <c r="AD71" s="96">
        <f>'直波・民消'!G4</f>
        <v>0.0003035922941330001</v>
      </c>
      <c r="AG71" s="21">
        <f t="shared" si="9"/>
        <v>0.00429270735235033</v>
      </c>
      <c r="AH71" s="17"/>
      <c r="AJ71" s="17"/>
      <c r="AK71" s="86">
        <f>'直波・民消'!H4</f>
        <v>0.00015889430800742547</v>
      </c>
      <c r="AN71" s="21">
        <f t="shared" si="10"/>
        <v>0.0015374615633583627</v>
      </c>
      <c r="AO71" s="17"/>
      <c r="AP71" s="89">
        <f t="shared" si="11"/>
        <v>0.00820188519956757</v>
      </c>
      <c r="AQ71" s="17"/>
      <c r="AR71" s="86">
        <f>'直波・民消'!E4</f>
        <v>0.18745221689269959</v>
      </c>
    </row>
    <row r="72" spans="2:44" ht="27.75" customHeight="1">
      <c r="B72" s="24" t="s">
        <v>46</v>
      </c>
      <c r="C72" s="16" t="s">
        <v>180</v>
      </c>
      <c r="D72" s="10" t="s">
        <v>69</v>
      </c>
      <c r="E72" s="67" t="s">
        <v>179</v>
      </c>
      <c r="G72" s="10" t="s">
        <v>181</v>
      </c>
      <c r="L72" s="21">
        <f t="shared" si="6"/>
        <v>2.785988315684412</v>
      </c>
      <c r="M72" s="10"/>
      <c r="O72" s="10"/>
      <c r="P72" s="86">
        <f>'直波・民消'!I5</f>
        <v>0.10312319224255385</v>
      </c>
      <c r="S72" s="21">
        <f t="shared" si="7"/>
        <v>0.6773695779823581</v>
      </c>
      <c r="U72" s="89">
        <f t="shared" si="8"/>
        <v>2.785988315684412</v>
      </c>
      <c r="V72" s="10"/>
      <c r="W72" s="89">
        <f>'直波・民消'!F5</f>
        <v>0.24313439297966113</v>
      </c>
      <c r="Y72" s="10"/>
      <c r="Z72" s="21">
        <f>$AB$68*AD72</f>
        <v>0.7937628137086412</v>
      </c>
      <c r="AA72" s="10"/>
      <c r="AB72"/>
      <c r="AC72" s="10"/>
      <c r="AD72" s="96">
        <f>'直波・民消'!G5</f>
        <v>0.029381083464076876</v>
      </c>
      <c r="AG72" s="21">
        <f t="shared" si="9"/>
        <v>0.2992404585181226</v>
      </c>
      <c r="AH72" s="17"/>
      <c r="AJ72" s="17"/>
      <c r="AK72" s="86">
        <f>'直波・民消'!H5</f>
        <v>0.011076367821353737</v>
      </c>
      <c r="AN72" s="21">
        <f t="shared" si="10"/>
        <v>0.0924572562765414</v>
      </c>
      <c r="AO72" s="17"/>
      <c r="AP72" s="89">
        <f t="shared" si="11"/>
        <v>0.7937628137086412</v>
      </c>
      <c r="AQ72" s="17"/>
      <c r="AR72" s="86">
        <f>'直波・民消'!E5</f>
        <v>0.1164797023490682</v>
      </c>
    </row>
    <row r="73" spans="12:44" ht="18" customHeight="1" thickBot="1">
      <c r="L73" s="21">
        <f t="shared" si="6"/>
        <v>0.8947982725341673</v>
      </c>
      <c r="M73" s="10"/>
      <c r="O73" s="10"/>
      <c r="P73" s="86">
        <f>'直波・民消'!I6</f>
        <v>0.03312090497916453</v>
      </c>
      <c r="S73" s="21">
        <f t="shared" si="7"/>
        <v>0.09780156218341948</v>
      </c>
      <c r="U73" s="89">
        <f t="shared" si="8"/>
        <v>0.8947982725341673</v>
      </c>
      <c r="V73" s="10"/>
      <c r="W73" s="89">
        <f>'直波・民消'!F6</f>
        <v>0.10930012404520482</v>
      </c>
      <c r="Y73" s="10"/>
      <c r="Z73" s="21">
        <f>$AB$68*AD73</f>
        <v>0.1097491935327614</v>
      </c>
      <c r="AA73" s="10"/>
      <c r="AB73"/>
      <c r="AC73" s="10"/>
      <c r="AD73" s="96">
        <f>'直波・民消'!G6</f>
        <v>0.004062359888384483</v>
      </c>
      <c r="AG73" s="21">
        <f t="shared" si="9"/>
        <v>0.03704334679579043</v>
      </c>
      <c r="AH73" s="17"/>
      <c r="AJ73" s="17"/>
      <c r="AK73" s="86">
        <f>'直波・民消'!H6</f>
        <v>0.001371157284265728</v>
      </c>
      <c r="AN73" s="21">
        <f t="shared" si="10"/>
        <v>0.024006914313350426</v>
      </c>
      <c r="AO73" s="17"/>
      <c r="AP73" s="89">
        <f t="shared" si="11"/>
        <v>0.1097491935327614</v>
      </c>
      <c r="AQ73" s="17"/>
      <c r="AR73" s="86">
        <f>'直波・民消'!E6</f>
        <v>0.21874342344195982</v>
      </c>
    </row>
    <row r="74" spans="2:44" ht="18" customHeight="1" thickBot="1">
      <c r="B74" s="10"/>
      <c r="C74" s="18">
        <f>$E$74*$G$74</f>
        <v>27.016117859613466</v>
      </c>
      <c r="D74" s="17" t="s">
        <v>159</v>
      </c>
      <c r="E74" s="92">
        <f>$C$68</f>
        <v>37.57457282282818</v>
      </c>
      <c r="F74" s="10" t="s">
        <v>70</v>
      </c>
      <c r="G74" s="64">
        <f>'入力SHEET'!$L$25</f>
        <v>0.7190000000000001</v>
      </c>
      <c r="L74" s="21">
        <f t="shared" si="6"/>
        <v>0.12241918155803404</v>
      </c>
      <c r="M74" s="10"/>
      <c r="O74" s="10"/>
      <c r="P74" s="86">
        <f>'直波・民消'!I7</f>
        <v>0.004531338743566821</v>
      </c>
      <c r="S74" s="21">
        <f t="shared" si="7"/>
        <v>0.03684827615572517</v>
      </c>
      <c r="U74" s="89">
        <f t="shared" si="8"/>
        <v>0.12241918155803404</v>
      </c>
      <c r="V74" s="10"/>
      <c r="W74" s="89">
        <f>'直波・民消'!F7</f>
        <v>0.3010008373422826</v>
      </c>
      <c r="Y74" s="10"/>
      <c r="Z74" s="21">
        <f aca="true" t="shared" si="12" ref="Z74:Z101">$AB$68*AD74</f>
        <v>0.11625038599880368</v>
      </c>
      <c r="AA74" s="10"/>
      <c r="AB74"/>
      <c r="AC74" s="10"/>
      <c r="AD74" s="96">
        <f>'直波・民消'!G7</f>
        <v>0.00430300114186972</v>
      </c>
      <c r="AG74" s="21">
        <f t="shared" si="9"/>
        <v>0.03759009062861622</v>
      </c>
      <c r="AH74" s="17"/>
      <c r="AJ74" s="17"/>
      <c r="AK74" s="86">
        <f>'直波・民消'!H7</f>
        <v>0.0013913949748053862</v>
      </c>
      <c r="AN74" s="21">
        <f t="shared" si="10"/>
        <v>0.021747961654043857</v>
      </c>
      <c r="AO74" s="17"/>
      <c r="AP74" s="89">
        <f t="shared" si="11"/>
        <v>0.11625038599880368</v>
      </c>
      <c r="AQ74" s="17"/>
      <c r="AR74" s="86">
        <f>'直波・民消'!E7</f>
        <v>0.18707861885523255</v>
      </c>
    </row>
    <row r="75" spans="12:44" ht="18" customHeight="1">
      <c r="L75" s="21">
        <f t="shared" si="6"/>
        <v>0.27224013295003036</v>
      </c>
      <c r="M75" s="10"/>
      <c r="O75" s="10"/>
      <c r="P75" s="86">
        <f>'直波・民消'!I8</f>
        <v>0.010076952372087609</v>
      </c>
      <c r="S75" s="21">
        <f t="shared" si="7"/>
        <v>0.057592953573437286</v>
      </c>
      <c r="U75" s="89">
        <f t="shared" si="8"/>
        <v>0.27224013295003036</v>
      </c>
      <c r="V75" s="10"/>
      <c r="W75" s="89">
        <f>'直波・民消'!F8</f>
        <v>0.21155203294000913</v>
      </c>
      <c r="Y75" s="10"/>
      <c r="Z75" s="21">
        <f t="shared" si="12"/>
        <v>0.13350163102129867</v>
      </c>
      <c r="AA75" s="10"/>
      <c r="AB75"/>
      <c r="AC75" s="10"/>
      <c r="AD75" s="96">
        <f>'直波・民消'!G8</f>
        <v>0.004941554953047897</v>
      </c>
      <c r="AG75" s="21">
        <f t="shared" si="9"/>
        <v>0.04473530473327088</v>
      </c>
      <c r="AH75" s="17"/>
      <c r="AJ75" s="17"/>
      <c r="AK75" s="86">
        <f>'直波・民消'!H8</f>
        <v>0.0016558746510410335</v>
      </c>
      <c r="AN75" s="21">
        <f t="shared" si="10"/>
        <v>0.01937910864590264</v>
      </c>
      <c r="AO75" s="17"/>
      <c r="AP75" s="89">
        <f t="shared" si="11"/>
        <v>0.13350163102129867</v>
      </c>
      <c r="AQ75" s="17"/>
      <c r="AR75" s="86">
        <f>'直波・民消'!E8</f>
        <v>0.14516008903899402</v>
      </c>
    </row>
    <row r="76" spans="12:44" ht="18" customHeight="1">
      <c r="L76" s="21">
        <f t="shared" si="6"/>
        <v>0.31919905420906447</v>
      </c>
      <c r="M76" s="10"/>
      <c r="O76" s="10"/>
      <c r="P76" s="86">
        <f>'直波・民消'!I9</f>
        <v>0.01181513405692669</v>
      </c>
      <c r="S76" s="21">
        <f t="shared" si="7"/>
        <v>0.004235592386289189</v>
      </c>
      <c r="U76" s="89">
        <f t="shared" si="8"/>
        <v>0.31919905420906447</v>
      </c>
      <c r="V76" s="10"/>
      <c r="W76" s="89">
        <f>'直波・民消'!F9</f>
        <v>0.013269439023823111</v>
      </c>
      <c r="Y76" s="10"/>
      <c r="Z76" s="21">
        <f t="shared" si="12"/>
        <v>0.006800037676125952</v>
      </c>
      <c r="AA76" s="10"/>
      <c r="AB76"/>
      <c r="AC76" s="10"/>
      <c r="AD76" s="96">
        <f>'直波・民消'!G9</f>
        <v>0.00025170299120923527</v>
      </c>
      <c r="AG76" s="21">
        <f t="shared" si="9"/>
        <v>0.0021353088506401</v>
      </c>
      <c r="AH76" s="17"/>
      <c r="AJ76" s="17"/>
      <c r="AK76" s="86">
        <f>'直波・民消'!H9</f>
        <v>7.903833044170214E-05</v>
      </c>
      <c r="AN76" s="21">
        <f t="shared" si="10"/>
        <v>0.0008050154011504647</v>
      </c>
      <c r="AO76" s="17"/>
      <c r="AP76" s="89">
        <f t="shared" si="11"/>
        <v>0.006800037676125952</v>
      </c>
      <c r="AQ76" s="17"/>
      <c r="AR76" s="86">
        <f>'直波・民消'!E9</f>
        <v>0.11838396189726552</v>
      </c>
    </row>
    <row r="77" spans="12:44" ht="18" customHeight="1">
      <c r="L77" s="21">
        <f t="shared" si="6"/>
        <v>0.04694831639781453</v>
      </c>
      <c r="M77" s="10"/>
      <c r="O77" s="10"/>
      <c r="P77" s="86">
        <f>'直波・民消'!I10</f>
        <v>0.0017377891465301092</v>
      </c>
      <c r="S77" s="21">
        <f t="shared" si="7"/>
        <v>0.008552436990119022</v>
      </c>
      <c r="U77" s="89">
        <f t="shared" si="8"/>
        <v>0.04694831639781453</v>
      </c>
      <c r="V77" s="10"/>
      <c r="W77" s="89">
        <f>'直波・民消'!F10</f>
        <v>0.18216706468556437</v>
      </c>
      <c r="Y77" s="10"/>
      <c r="Z77" s="21">
        <f t="shared" si="12"/>
        <v>0.02214805792186297</v>
      </c>
      <c r="AA77" s="10"/>
      <c r="AB77"/>
      <c r="AC77" s="10"/>
      <c r="AD77" s="96">
        <f>'直波・民消'!G10</f>
        <v>0.0008198090501734232</v>
      </c>
      <c r="AG77" s="21">
        <f t="shared" si="9"/>
        <v>0.007359020963537698</v>
      </c>
      <c r="AH77" s="17"/>
      <c r="AJ77" s="17"/>
      <c r="AK77" s="86">
        <f>'直波・民消'!H10</f>
        <v>0.00027239372443435837</v>
      </c>
      <c r="AN77" s="21">
        <f t="shared" si="10"/>
        <v>0.004223701441603298</v>
      </c>
      <c r="AO77" s="17"/>
      <c r="AP77" s="89">
        <f t="shared" si="11"/>
        <v>0.02214805792186297</v>
      </c>
      <c r="AQ77" s="17"/>
      <c r="AR77" s="86">
        <f>'直波・民消'!E10</f>
        <v>0.19070301588086258</v>
      </c>
    </row>
    <row r="78" spans="12:44" ht="18" customHeight="1">
      <c r="L78" s="21">
        <f t="shared" si="6"/>
        <v>2.383114880805188E-06</v>
      </c>
      <c r="M78" s="10"/>
      <c r="O78" s="10"/>
      <c r="P78" s="86">
        <f>'直波・民消'!I11</f>
        <v>8.821085594861573E-08</v>
      </c>
      <c r="S78" s="21">
        <f t="shared" si="7"/>
        <v>2.140407547842341E-08</v>
      </c>
      <c r="U78" s="89">
        <f t="shared" si="8"/>
        <v>2.383114880805188E-06</v>
      </c>
      <c r="V78" s="10"/>
      <c r="W78" s="89">
        <f>'直波・民消'!F11</f>
        <v>0.008981554204886492</v>
      </c>
      <c r="Y78" s="10"/>
      <c r="Z78" s="21">
        <f t="shared" si="12"/>
        <v>0.0006126561821537702</v>
      </c>
      <c r="AA78" s="10"/>
      <c r="AB78"/>
      <c r="AC78" s="10"/>
      <c r="AD78" s="96">
        <f>'直波・民消'!G11</f>
        <v>2.267743224016775E-05</v>
      </c>
      <c r="AG78" s="21">
        <f t="shared" si="9"/>
        <v>0.00020611084184694777</v>
      </c>
      <c r="AH78" s="17"/>
      <c r="AJ78" s="17"/>
      <c r="AK78" s="86">
        <f>'直波・民消'!H11</f>
        <v>7.629180584641435E-06</v>
      </c>
      <c r="AN78" s="21">
        <f t="shared" si="10"/>
        <v>0.00010998001545743308</v>
      </c>
      <c r="AO78" s="17"/>
      <c r="AP78" s="89">
        <f t="shared" si="11"/>
        <v>0.0006126561821537702</v>
      </c>
      <c r="AQ78" s="17"/>
      <c r="AR78" s="86">
        <f>'直波・民消'!E11</f>
        <v>0.1795134345511742</v>
      </c>
    </row>
    <row r="79" spans="12:44" ht="18" customHeight="1">
      <c r="L79" s="21">
        <f t="shared" si="6"/>
        <v>0.017242312785601698</v>
      </c>
      <c r="M79" s="10"/>
      <c r="O79" s="10"/>
      <c r="P79" s="86">
        <f>'直波・民消'!I12</f>
        <v>0.0006382231849594246</v>
      </c>
      <c r="S79" s="21">
        <f t="shared" si="7"/>
        <v>0.0007140685633613749</v>
      </c>
      <c r="U79" s="89">
        <f t="shared" si="8"/>
        <v>0.017242312785601698</v>
      </c>
      <c r="V79" s="10"/>
      <c r="W79" s="89">
        <f>'直波・民消'!F12</f>
        <v>0.04141373447056722</v>
      </c>
      <c r="Y79" s="10"/>
      <c r="Z79" s="21">
        <f t="shared" si="12"/>
        <v>0.0024655564474530436</v>
      </c>
      <c r="AA79" s="10"/>
      <c r="AB79"/>
      <c r="AC79" s="10"/>
      <c r="AD79" s="96">
        <f>'直波・民消'!G12</f>
        <v>9.126242564772108E-05</v>
      </c>
      <c r="AG79" s="21">
        <f t="shared" si="9"/>
        <v>0.0008284683939344034</v>
      </c>
      <c r="AH79" s="17"/>
      <c r="AJ79" s="17"/>
      <c r="AK79" s="86">
        <f>'直波・民消'!H12</f>
        <v>3.066570845742737E-05</v>
      </c>
      <c r="AN79" s="21">
        <f t="shared" si="10"/>
        <v>0.0003845033321965605</v>
      </c>
      <c r="AO79" s="17"/>
      <c r="AP79" s="89">
        <f t="shared" si="11"/>
        <v>0.0024655564474530436</v>
      </c>
      <c r="AQ79" s="17"/>
      <c r="AR79" s="86">
        <f>'直波・民消'!E12</f>
        <v>0.1559499205924724</v>
      </c>
    </row>
    <row r="80" spans="12:44" ht="18" customHeight="1">
      <c r="L80" s="21">
        <f t="shared" si="6"/>
        <v>0.0492686362015105</v>
      </c>
      <c r="M80" s="10"/>
      <c r="O80" s="10"/>
      <c r="P80" s="86">
        <f>'直波・民消'!I13</f>
        <v>0.0018236756464244791</v>
      </c>
      <c r="S80" s="21">
        <f t="shared" si="7"/>
        <v>0.014895636929418744</v>
      </c>
      <c r="U80" s="89">
        <f t="shared" si="8"/>
        <v>0.0492686362015105</v>
      </c>
      <c r="V80" s="10"/>
      <c r="W80" s="89">
        <f>'直波・民消'!F13</f>
        <v>0.30233507719789626</v>
      </c>
      <c r="Y80" s="10"/>
      <c r="Z80" s="21">
        <f t="shared" si="12"/>
        <v>0.04692328447142477</v>
      </c>
      <c r="AA80" s="10"/>
      <c r="AB80"/>
      <c r="AC80" s="10"/>
      <c r="AD80" s="96">
        <f>'直波・民消'!G13</f>
        <v>0.0017368625912596654</v>
      </c>
      <c r="AG80" s="21">
        <f t="shared" si="9"/>
        <v>0.016771526543508334</v>
      </c>
      <c r="AH80" s="17"/>
      <c r="AJ80" s="17"/>
      <c r="AK80" s="86">
        <f>'直波・民消'!H13</f>
        <v>0.0006207970601349862</v>
      </c>
      <c r="AN80" s="21">
        <f t="shared" si="10"/>
        <v>0.010081376278898066</v>
      </c>
      <c r="AO80" s="17"/>
      <c r="AP80" s="89">
        <f t="shared" si="11"/>
        <v>0.04692328447142477</v>
      </c>
      <c r="AQ80" s="17"/>
      <c r="AR80" s="86">
        <f>'直波・民消'!E13</f>
        <v>0.21484805235740473</v>
      </c>
    </row>
    <row r="81" spans="12:44" ht="18" customHeight="1">
      <c r="L81" s="21">
        <f t="shared" si="6"/>
        <v>0.013100101655530159</v>
      </c>
      <c r="M81" s="10"/>
      <c r="O81" s="10"/>
      <c r="P81" s="86">
        <f>'直波・民消'!I14</f>
        <v>0.0004848994856923381</v>
      </c>
      <c r="S81" s="21">
        <f t="shared" si="7"/>
        <v>0.0011596774886422825</v>
      </c>
      <c r="U81" s="89">
        <f t="shared" si="8"/>
        <v>0.013100101655530159</v>
      </c>
      <c r="V81" s="10"/>
      <c r="W81" s="89">
        <f>'直波・民消'!F14</f>
        <v>0.08852431218751107</v>
      </c>
      <c r="Y81" s="10"/>
      <c r="Z81" s="21">
        <f t="shared" si="12"/>
        <v>0.00607070601043016</v>
      </c>
      <c r="AA81" s="10"/>
      <c r="AB81"/>
      <c r="AC81" s="10"/>
      <c r="AD81" s="96">
        <f>'直波・民消'!G14</f>
        <v>0.000224706822866852</v>
      </c>
      <c r="AG81" s="21">
        <f t="shared" si="9"/>
        <v>0.002183318977766824</v>
      </c>
      <c r="AH81" s="17"/>
      <c r="AJ81" s="17"/>
      <c r="AK81" s="86">
        <f>'直波・民消'!H14</f>
        <v>8.081542244937712E-05</v>
      </c>
      <c r="AN81" s="21">
        <f t="shared" si="10"/>
        <v>0.0011839183142138378</v>
      </c>
      <c r="AO81" s="17"/>
      <c r="AP81" s="89">
        <f t="shared" si="11"/>
        <v>0.00607070601043016</v>
      </c>
      <c r="AQ81" s="17"/>
      <c r="AR81" s="86">
        <f>'直波・民消'!E14</f>
        <v>0.19502152009662999</v>
      </c>
    </row>
    <row r="82" spans="12:44" ht="18" customHeight="1">
      <c r="L82" s="21">
        <f t="shared" si="6"/>
        <v>0.7024321669538763</v>
      </c>
      <c r="M82" s="10"/>
      <c r="O82" s="10"/>
      <c r="P82" s="86">
        <f>'直波・民消'!I15</f>
        <v>0.02600048499210709</v>
      </c>
      <c r="S82" s="21">
        <f t="shared" si="7"/>
        <v>0.4450251696901369</v>
      </c>
      <c r="U82" s="89">
        <f t="shared" si="8"/>
        <v>0.7024321669538763</v>
      </c>
      <c r="V82" s="10"/>
      <c r="W82" s="89">
        <f>'直波・民消'!F15</f>
        <v>0.6335489612043329</v>
      </c>
      <c r="Y82" s="10"/>
      <c r="Z82" s="21">
        <f t="shared" si="12"/>
        <v>0.6067310188595745</v>
      </c>
      <c r="AA82" s="10"/>
      <c r="AB82"/>
      <c r="AC82" s="10"/>
      <c r="AD82" s="96">
        <f>'直波・民消'!G15</f>
        <v>0.022458112672308846</v>
      </c>
      <c r="AG82" s="21">
        <f t="shared" si="9"/>
        <v>0.20881526636563694</v>
      </c>
      <c r="AH82" s="17"/>
      <c r="AJ82" s="17"/>
      <c r="AK82" s="86">
        <f>'直波・民消'!H15</f>
        <v>0.007729284697776506</v>
      </c>
      <c r="AN82" s="21">
        <f t="shared" si="10"/>
        <v>0.08979913958166524</v>
      </c>
      <c r="AO82" s="17"/>
      <c r="AP82" s="89">
        <f t="shared" si="11"/>
        <v>0.6067310188595745</v>
      </c>
      <c r="AQ82" s="17"/>
      <c r="AR82" s="86">
        <f>'直波・民消'!E15</f>
        <v>0.14800486012805766</v>
      </c>
    </row>
    <row r="83" spans="12:44" ht="18" customHeight="1">
      <c r="L83" s="21">
        <f t="shared" si="6"/>
        <v>0.6480213646183084</v>
      </c>
      <c r="M83" s="10"/>
      <c r="O83" s="10"/>
      <c r="P83" s="86">
        <f>'直波・民消'!I16</f>
        <v>0.023986472371259487</v>
      </c>
      <c r="S83" s="21">
        <f t="shared" si="7"/>
        <v>0.20903841585225288</v>
      </c>
      <c r="U83" s="89">
        <f t="shared" si="8"/>
        <v>0.6480213646183084</v>
      </c>
      <c r="V83" s="10"/>
      <c r="W83" s="89">
        <f>'直波・民消'!F16</f>
        <v>0.32257951244459165</v>
      </c>
      <c r="Y83" s="10"/>
      <c r="Z83" s="21">
        <f t="shared" si="12"/>
        <v>0.2790553046717861</v>
      </c>
      <c r="AA83" s="10"/>
      <c r="AB83"/>
      <c r="AC83" s="10"/>
      <c r="AD83" s="96">
        <f>'直波・民消'!G16</f>
        <v>0.010329215549098091</v>
      </c>
      <c r="AG83" s="21">
        <f t="shared" si="9"/>
        <v>0.08069165035226808</v>
      </c>
      <c r="AH83" s="17"/>
      <c r="AJ83" s="17"/>
      <c r="AK83" s="86">
        <f>'直波・民消'!H16</f>
        <v>0.002986796651227764</v>
      </c>
      <c r="AN83" s="21">
        <f t="shared" si="10"/>
        <v>0.04876482381802033</v>
      </c>
      <c r="AO83" s="17"/>
      <c r="AP83" s="89">
        <f t="shared" si="11"/>
        <v>0.2790553046717861</v>
      </c>
      <c r="AQ83" s="17"/>
      <c r="AR83" s="86">
        <f>'直波・民消'!E16</f>
        <v>0.174749675070236</v>
      </c>
    </row>
    <row r="84" spans="12:44" ht="18" customHeight="1">
      <c r="L84" s="21">
        <f t="shared" si="6"/>
        <v>0.12897703708703376</v>
      </c>
      <c r="M84" s="10"/>
      <c r="O84" s="10"/>
      <c r="P84" s="86">
        <f>'直波・民消'!I17</f>
        <v>0.004774077376966222</v>
      </c>
      <c r="S84" s="21">
        <f t="shared" si="7"/>
        <v>0.012918902394817033</v>
      </c>
      <c r="U84" s="89">
        <f t="shared" si="8"/>
        <v>0.12897703708703376</v>
      </c>
      <c r="V84" s="10"/>
      <c r="W84" s="89">
        <f>'直波・民消'!F17</f>
        <v>0.1001643601573771</v>
      </c>
      <c r="Y84" s="10"/>
      <c r="Z84" s="21">
        <f t="shared" si="12"/>
        <v>0.015037724593589503</v>
      </c>
      <c r="AA84" s="10"/>
      <c r="AB84"/>
      <c r="AC84" s="10"/>
      <c r="AD84" s="96">
        <f>'直波・民消'!G17</f>
        <v>0.0005566204838064271</v>
      </c>
      <c r="AG84" s="21">
        <f t="shared" si="9"/>
        <v>0.006164683591558943</v>
      </c>
      <c r="AH84" s="17"/>
      <c r="AJ84" s="17"/>
      <c r="AK84" s="86">
        <f>'直波・民消'!H17</f>
        <v>0.00022818539745766213</v>
      </c>
      <c r="AN84" s="21">
        <f t="shared" si="10"/>
        <v>0.0032053587335502867</v>
      </c>
      <c r="AO84" s="17"/>
      <c r="AP84" s="89">
        <f t="shared" si="11"/>
        <v>0.015037724593589503</v>
      </c>
      <c r="AQ84" s="17"/>
      <c r="AR84" s="86">
        <f>'直波・民消'!E17</f>
        <v>0.21315450443325135</v>
      </c>
    </row>
    <row r="85" spans="12:44" ht="18" customHeight="1">
      <c r="L85" s="21">
        <f t="shared" si="6"/>
        <v>0.6203973693217111</v>
      </c>
      <c r="M85" s="10"/>
      <c r="O85" s="10"/>
      <c r="P85" s="86">
        <f>'直波・民消'!I18</f>
        <v>0.02296397182398831</v>
      </c>
      <c r="S85" s="21">
        <f t="shared" si="7"/>
        <v>0.16932781552138718</v>
      </c>
      <c r="U85" s="89">
        <f t="shared" si="8"/>
        <v>0.6203973693217111</v>
      </c>
      <c r="V85" s="10"/>
      <c r="W85" s="89">
        <f>'直波・民消'!F18</f>
        <v>0.27293445119942333</v>
      </c>
      <c r="Y85" s="10"/>
      <c r="Z85" s="21">
        <f t="shared" si="12"/>
        <v>0.3376169384370851</v>
      </c>
      <c r="AA85" s="10"/>
      <c r="AB85"/>
      <c r="AC85" s="10"/>
      <c r="AD85" s="96">
        <f>'直波・民消'!G18</f>
        <v>0.012496870949093335</v>
      </c>
      <c r="AG85" s="21">
        <f t="shared" si="9"/>
        <v>0.139082908861184</v>
      </c>
      <c r="AH85" s="17"/>
      <c r="AJ85" s="17"/>
      <c r="AK85" s="86">
        <f>'直波・民消'!H18</f>
        <v>0.005148145621214502</v>
      </c>
      <c r="AN85" s="21">
        <f t="shared" si="10"/>
        <v>0.08138568446310641</v>
      </c>
      <c r="AO85" s="17"/>
      <c r="AP85" s="89">
        <f t="shared" si="11"/>
        <v>0.3376169384370851</v>
      </c>
      <c r="AQ85" s="17"/>
      <c r="AR85" s="86">
        <f>'直波・民消'!E18</f>
        <v>0.24105924554574037</v>
      </c>
    </row>
    <row r="86" spans="12:44" ht="18" customHeight="1">
      <c r="L86" s="21">
        <f t="shared" si="6"/>
        <v>0</v>
      </c>
      <c r="M86" s="10"/>
      <c r="O86" s="10"/>
      <c r="P86" s="86">
        <f>'直波・民消'!I19</f>
        <v>0</v>
      </c>
      <c r="S86" s="21">
        <f t="shared" si="7"/>
        <v>0</v>
      </c>
      <c r="U86" s="89">
        <f t="shared" si="8"/>
        <v>0</v>
      </c>
      <c r="V86" s="10"/>
      <c r="W86" s="89">
        <f>'直波・民消'!F19</f>
        <v>1</v>
      </c>
      <c r="Y86" s="10"/>
      <c r="Z86" s="21">
        <f t="shared" si="12"/>
        <v>0.4028352690824123</v>
      </c>
      <c r="AA86" s="10"/>
      <c r="AB86"/>
      <c r="AC86" s="10"/>
      <c r="AD86" s="96">
        <f>'直波・民消'!G19</f>
        <v>0.014910923589233108</v>
      </c>
      <c r="AG86" s="21">
        <f t="shared" si="9"/>
        <v>0.18379077998934773</v>
      </c>
      <c r="AH86" s="17"/>
      <c r="AJ86" s="17"/>
      <c r="AK86" s="86">
        <f>'直波・民消'!H19</f>
        <v>0.006803004818989834</v>
      </c>
      <c r="AN86" s="21">
        <f t="shared" si="10"/>
        <v>0.10855429760831911</v>
      </c>
      <c r="AO86" s="17"/>
      <c r="AP86" s="89">
        <f t="shared" si="11"/>
        <v>0.4028352690824123</v>
      </c>
      <c r="AQ86" s="17"/>
      <c r="AR86" s="86">
        <f>'直波・民消'!E19</f>
        <v>0.26947565404485724</v>
      </c>
    </row>
    <row r="87" spans="12:44" ht="18" customHeight="1">
      <c r="L87" s="21">
        <f t="shared" si="6"/>
        <v>0.9626771294628618</v>
      </c>
      <c r="M87" s="10"/>
      <c r="O87" s="10"/>
      <c r="P87" s="86">
        <f>'直波・民消'!I20</f>
        <v>0.03563343684186294</v>
      </c>
      <c r="S87" s="21">
        <f t="shared" si="7"/>
        <v>0.9624564147338469</v>
      </c>
      <c r="U87" s="89">
        <f t="shared" si="8"/>
        <v>0.9626771294628618</v>
      </c>
      <c r="V87" s="10"/>
      <c r="W87" s="89">
        <f>'直波・民消'!F20</f>
        <v>0.9997707281888601</v>
      </c>
      <c r="Y87" s="10"/>
      <c r="Z87" s="21">
        <f t="shared" si="12"/>
        <v>1.2710418868295283</v>
      </c>
      <c r="AA87" s="10"/>
      <c r="AB87"/>
      <c r="AC87" s="10"/>
      <c r="AD87" s="96">
        <f>'直波・民消'!G20</f>
        <v>0.04704754004384973</v>
      </c>
      <c r="AG87" s="21">
        <f t="shared" si="9"/>
        <v>0.7939692122005902</v>
      </c>
      <c r="AH87" s="17"/>
      <c r="AJ87" s="17"/>
      <c r="AK87" s="86">
        <f>'直波・民消'!H20</f>
        <v>0.029388723292012985</v>
      </c>
      <c r="AN87" s="21">
        <f t="shared" si="10"/>
        <v>0.16511131511538024</v>
      </c>
      <c r="AO87" s="17"/>
      <c r="AP87" s="89">
        <f t="shared" si="11"/>
        <v>1.2710418868295283</v>
      </c>
      <c r="AQ87" s="17"/>
      <c r="AR87" s="86">
        <f>'直波・民消'!E20</f>
        <v>0.12990233982550484</v>
      </c>
    </row>
    <row r="88" spans="12:44" ht="18" customHeight="1">
      <c r="L88" s="21">
        <f t="shared" si="6"/>
        <v>0.20073083881191736</v>
      </c>
      <c r="M88" s="10"/>
      <c r="O88" s="10"/>
      <c r="P88" s="86">
        <f>'直波・民消'!I21</f>
        <v>0.00743004009143708</v>
      </c>
      <c r="S88" s="21">
        <f t="shared" si="7"/>
        <v>0.20073083881191736</v>
      </c>
      <c r="U88" s="89">
        <f t="shared" si="8"/>
        <v>0.20073083881191736</v>
      </c>
      <c r="V88" s="10"/>
      <c r="W88" s="89">
        <f>'直波・民消'!F21</f>
        <v>1</v>
      </c>
      <c r="Y88" s="10"/>
      <c r="Z88" s="21">
        <f t="shared" si="12"/>
        <v>0.3018276752343442</v>
      </c>
      <c r="AA88" s="10"/>
      <c r="AB88"/>
      <c r="AC88" s="10"/>
      <c r="AD88" s="96">
        <f>'直波・民消'!G21</f>
        <v>0.011172133494633139</v>
      </c>
      <c r="AG88" s="21">
        <f t="shared" si="9"/>
        <v>0.20429187865338574</v>
      </c>
      <c r="AH88" s="17"/>
      <c r="AJ88" s="17"/>
      <c r="AK88" s="86">
        <f>'直波・民消'!H21</f>
        <v>0.007561851769931117</v>
      </c>
      <c r="AN88" s="21">
        <f t="shared" si="10"/>
        <v>0.12269590024771736</v>
      </c>
      <c r="AO88" s="17"/>
      <c r="AP88" s="89">
        <f t="shared" si="11"/>
        <v>0.3018276752343442</v>
      </c>
      <c r="AQ88" s="17"/>
      <c r="AR88" s="86">
        <f>'直波・民消'!E21</f>
        <v>0.40650977466680005</v>
      </c>
    </row>
    <row r="89" spans="12:44" ht="18" customHeight="1">
      <c r="L89" s="21">
        <f t="shared" si="6"/>
        <v>3.9653978279821014</v>
      </c>
      <c r="M89" s="10"/>
      <c r="O89" s="10"/>
      <c r="P89" s="86">
        <f>'直波・民消'!I22</f>
        <v>0.14677896537866364</v>
      </c>
      <c r="S89" s="21">
        <f t="shared" si="7"/>
        <v>3.9058831607238926</v>
      </c>
      <c r="U89" s="89">
        <f t="shared" si="8"/>
        <v>3.9653978279821014</v>
      </c>
      <c r="V89" s="10"/>
      <c r="W89" s="89">
        <f>'直波・民消'!F22</f>
        <v>0.9849915015239481</v>
      </c>
      <c r="Y89" s="10"/>
      <c r="Z89" s="21">
        <f t="shared" si="12"/>
        <v>4.4817290349465235</v>
      </c>
      <c r="AA89" s="10"/>
      <c r="AB89"/>
      <c r="AC89" s="10"/>
      <c r="AD89" s="96">
        <f>'直波・民消'!G22</f>
        <v>0.1658909343761149</v>
      </c>
      <c r="AG89" s="21">
        <f t="shared" si="9"/>
        <v>3.025248228055151</v>
      </c>
      <c r="AH89" s="17"/>
      <c r="AJ89" s="17"/>
      <c r="AK89" s="86">
        <f>'直波・民消'!H22</f>
        <v>0.11197938370625819</v>
      </c>
      <c r="AN89" s="21">
        <f t="shared" si="10"/>
        <v>1.7917276799438397</v>
      </c>
      <c r="AO89" s="17"/>
      <c r="AP89" s="89">
        <f t="shared" si="11"/>
        <v>4.4817290349465235</v>
      </c>
      <c r="AQ89" s="17"/>
      <c r="AR89" s="86">
        <f>'直波・民消'!E22</f>
        <v>0.3997849191623917</v>
      </c>
    </row>
    <row r="90" spans="12:44" ht="18" customHeight="1">
      <c r="L90" s="21">
        <f t="shared" si="6"/>
        <v>0.9528589344654326</v>
      </c>
      <c r="M90" s="10"/>
      <c r="O90" s="10"/>
      <c r="P90" s="86">
        <f>'直波・民消'!I23</f>
        <v>0.03527001693644024</v>
      </c>
      <c r="S90" s="21">
        <f t="shared" si="7"/>
        <v>0.943747411473536</v>
      </c>
      <c r="U90" s="89">
        <f t="shared" si="8"/>
        <v>0.9528589344654326</v>
      </c>
      <c r="V90" s="10"/>
      <c r="W90" s="89">
        <f>'直波・民消'!F23</f>
        <v>0.9904376999970009</v>
      </c>
      <c r="Y90" s="10"/>
      <c r="Z90" s="21">
        <f t="shared" si="12"/>
        <v>2.1319842939378963</v>
      </c>
      <c r="AA90" s="10"/>
      <c r="AB90"/>
      <c r="AC90" s="10"/>
      <c r="AD90" s="96">
        <f>'直波・民消'!G23</f>
        <v>0.07891527217258001</v>
      </c>
      <c r="AG90" s="21">
        <f t="shared" si="9"/>
        <v>1.421168715053153</v>
      </c>
      <c r="AH90" s="17"/>
      <c r="AJ90" s="17"/>
      <c r="AK90" s="86">
        <f>'直波・民消'!H23</f>
        <v>0.05260447568514888</v>
      </c>
      <c r="AN90" s="21">
        <f t="shared" si="10"/>
        <v>0.9282725537583636</v>
      </c>
      <c r="AO90" s="17"/>
      <c r="AP90" s="89">
        <f t="shared" si="11"/>
        <v>2.1319842939378963</v>
      </c>
      <c r="AQ90" s="17"/>
      <c r="AR90" s="86">
        <f>'直波・民消'!E23</f>
        <v>0.4354030920386338</v>
      </c>
    </row>
    <row r="91" spans="12:44" ht="18" customHeight="1">
      <c r="L91" s="21">
        <f t="shared" si="6"/>
        <v>5.257458848875869</v>
      </c>
      <c r="M91" s="10"/>
      <c r="O91" s="10"/>
      <c r="P91" s="86">
        <f>'直波・民消'!I24</f>
        <v>0.19460452742306367</v>
      </c>
      <c r="S91" s="21">
        <f t="shared" si="7"/>
        <v>5.257458848875869</v>
      </c>
      <c r="U91" s="89">
        <f t="shared" si="8"/>
        <v>5.257458848875869</v>
      </c>
      <c r="V91" s="10"/>
      <c r="W91" s="89">
        <f>'直波・民消'!F24</f>
        <v>1</v>
      </c>
      <c r="Y91" s="10"/>
      <c r="Z91" s="21">
        <f t="shared" si="12"/>
        <v>5.496907410460213</v>
      </c>
      <c r="AA91" s="10"/>
      <c r="AB91"/>
      <c r="AC91" s="10"/>
      <c r="AD91" s="96">
        <f>'直波・民消'!G24</f>
        <v>0.20346770172621909</v>
      </c>
      <c r="AG91" s="21">
        <f t="shared" si="9"/>
        <v>4.634197565838234</v>
      </c>
      <c r="AH91" s="17"/>
      <c r="AJ91" s="17"/>
      <c r="AK91" s="86">
        <f>'直波・民消'!H24</f>
        <v>0.17153454800276544</v>
      </c>
      <c r="AN91" s="21">
        <f t="shared" si="10"/>
        <v>0.17810949751868418</v>
      </c>
      <c r="AO91" s="17"/>
      <c r="AP91" s="89">
        <f t="shared" si="11"/>
        <v>5.496907410460213</v>
      </c>
      <c r="AQ91" s="17"/>
      <c r="AR91" s="86">
        <f>'直波・民消'!E24</f>
        <v>0.032401764159198834</v>
      </c>
    </row>
    <row r="92" spans="12:44" ht="18" customHeight="1">
      <c r="L92" s="21">
        <f t="shared" si="6"/>
        <v>1.2734248242143826</v>
      </c>
      <c r="M92" s="10"/>
      <c r="O92" s="10"/>
      <c r="P92" s="86">
        <f>'直波・民消'!I25</f>
        <v>0.04713574432979625</v>
      </c>
      <c r="S92" s="21">
        <f t="shared" si="7"/>
        <v>1.03862281289222</v>
      </c>
      <c r="U92" s="89">
        <f t="shared" si="8"/>
        <v>1.2734248242143826</v>
      </c>
      <c r="V92" s="10"/>
      <c r="W92" s="89">
        <f>'直波・民消'!F25</f>
        <v>0.8156137630919676</v>
      </c>
      <c r="Y92" s="10"/>
      <c r="Z92" s="21">
        <f t="shared" si="12"/>
        <v>1.464310243206909</v>
      </c>
      <c r="AA92" s="10"/>
      <c r="AB92"/>
      <c r="AC92" s="10"/>
      <c r="AD92" s="96">
        <f>'直波・民消'!G25</f>
        <v>0.05420135679064067</v>
      </c>
      <c r="AG92" s="21">
        <f t="shared" si="9"/>
        <v>0.9757568090330065</v>
      </c>
      <c r="AH92" s="17"/>
      <c r="AJ92" s="17"/>
      <c r="AK92" s="86">
        <f>'直波・民消'!H25</f>
        <v>0.036117580405276156</v>
      </c>
      <c r="AN92" s="21">
        <f t="shared" si="10"/>
        <v>0.6694697188595242</v>
      </c>
      <c r="AO92" s="17"/>
      <c r="AP92" s="89">
        <f t="shared" si="11"/>
        <v>1.464310243206909</v>
      </c>
      <c r="AQ92" s="17"/>
      <c r="AR92" s="86">
        <f>'直波・民消'!E25</f>
        <v>0.45719117377295243</v>
      </c>
    </row>
    <row r="93" spans="12:44" ht="18" customHeight="1">
      <c r="L93" s="21">
        <f t="shared" si="6"/>
        <v>1.095286986874195</v>
      </c>
      <c r="M93" s="10"/>
      <c r="O93" s="10"/>
      <c r="P93" s="86">
        <f>'直波・民消'!I26</f>
        <v>0.04054198284763723</v>
      </c>
      <c r="S93" s="21">
        <f t="shared" si="7"/>
        <v>1.0406351932534874</v>
      </c>
      <c r="U93" s="89">
        <f t="shared" si="8"/>
        <v>1.095286986874195</v>
      </c>
      <c r="V93" s="10"/>
      <c r="W93" s="89">
        <f>'直波・民消'!F26</f>
        <v>0.9501027636814378</v>
      </c>
      <c r="Y93" s="10"/>
      <c r="Z93" s="21">
        <f t="shared" si="12"/>
        <v>1.4336138789893693</v>
      </c>
      <c r="AA93" s="10"/>
      <c r="AB93"/>
      <c r="AC93" s="10"/>
      <c r="AD93" s="96">
        <f>'直波・民消'!G26</f>
        <v>0.053065132690011174</v>
      </c>
      <c r="AG93" s="21">
        <f t="shared" si="9"/>
        <v>1.078464414241158</v>
      </c>
      <c r="AH93" s="17"/>
      <c r="AJ93" s="17"/>
      <c r="AK93" s="86">
        <f>'直波・民消'!H26</f>
        <v>0.03991929631952635</v>
      </c>
      <c r="AN93" s="21">
        <f t="shared" si="10"/>
        <v>0.5542476999498442</v>
      </c>
      <c r="AO93" s="17"/>
      <c r="AP93" s="89">
        <f t="shared" si="11"/>
        <v>1.4336138789893693</v>
      </c>
      <c r="AQ93" s="17"/>
      <c r="AR93" s="86">
        <f>'直波・民消'!E26</f>
        <v>0.386608771073396</v>
      </c>
    </row>
    <row r="94" spans="12:44" ht="18" customHeight="1">
      <c r="L94" s="21">
        <f t="shared" si="6"/>
        <v>0.09253456348550484</v>
      </c>
      <c r="M94" s="10"/>
      <c r="O94" s="10"/>
      <c r="P94" s="86">
        <f>'直波・民消'!I27</f>
        <v>0.003425161378342787</v>
      </c>
      <c r="S94" s="21">
        <f t="shared" si="7"/>
        <v>0.09253456348550484</v>
      </c>
      <c r="U94" s="89">
        <f t="shared" si="8"/>
        <v>0.09253456348550484</v>
      </c>
      <c r="V94" s="10"/>
      <c r="W94" s="89">
        <f>'直波・民消'!F27</f>
        <v>1</v>
      </c>
      <c r="Y94" s="10"/>
      <c r="Z94" s="21">
        <f t="shared" si="12"/>
        <v>0.1241083408065057</v>
      </c>
      <c r="AA94" s="10"/>
      <c r="AB94"/>
      <c r="AC94" s="10"/>
      <c r="AD94" s="96">
        <f>'直波・民消'!G27</f>
        <v>0.004593862872949481</v>
      </c>
      <c r="AG94" s="21">
        <f t="shared" si="9"/>
        <v>0.08764111887114855</v>
      </c>
      <c r="AH94" s="17"/>
      <c r="AJ94" s="17"/>
      <c r="AK94" s="86">
        <f>'直波・民消'!H27</f>
        <v>0.003244030816217444</v>
      </c>
      <c r="AN94" s="21">
        <f t="shared" si="10"/>
        <v>0.08211474558153917</v>
      </c>
      <c r="AO94" s="17"/>
      <c r="AP94" s="89">
        <f t="shared" si="11"/>
        <v>0.1241083408065057</v>
      </c>
      <c r="AQ94" s="17"/>
      <c r="AR94" s="86">
        <f>'直波・民消'!E27</f>
        <v>0.6616376066904502</v>
      </c>
    </row>
    <row r="95" spans="12:44" ht="18" customHeight="1">
      <c r="L95" s="21">
        <f t="shared" si="6"/>
        <v>0.9342744513789614</v>
      </c>
      <c r="M95" s="10"/>
      <c r="O95" s="10"/>
      <c r="P95" s="86">
        <f>'直波・民消'!I28</f>
        <v>0.034582113397410554</v>
      </c>
      <c r="S95" s="21">
        <f t="shared" si="7"/>
        <v>0.7799188640736369</v>
      </c>
      <c r="U95" s="89">
        <f t="shared" si="8"/>
        <v>0.9342744513789614</v>
      </c>
      <c r="V95" s="10"/>
      <c r="W95" s="89">
        <f>'直波・民消'!F28</f>
        <v>0.8347856060095615</v>
      </c>
      <c r="Y95" s="10"/>
      <c r="Z95" s="21">
        <f t="shared" si="12"/>
        <v>0.9112873484218851</v>
      </c>
      <c r="AA95" s="10"/>
      <c r="AB95"/>
      <c r="AC95" s="10"/>
      <c r="AD95" s="96">
        <f>'直波・民消'!G28</f>
        <v>0.03373124714503016</v>
      </c>
      <c r="AG95" s="21">
        <f t="shared" si="9"/>
        <v>0.567286836166282</v>
      </c>
      <c r="AH95" s="17"/>
      <c r="AJ95" s="17"/>
      <c r="AK95" s="86">
        <f>'直波・民消'!H28</f>
        <v>0.02099808858971266</v>
      </c>
      <c r="AN95" s="21">
        <f t="shared" si="10"/>
        <v>0.5076148524624255</v>
      </c>
      <c r="AO95" s="17"/>
      <c r="AP95" s="89">
        <f t="shared" si="11"/>
        <v>0.9112873484218851</v>
      </c>
      <c r="AQ95" s="17"/>
      <c r="AR95" s="86">
        <f>'直波・民消'!E28</f>
        <v>0.5570305056264456</v>
      </c>
    </row>
    <row r="96" spans="12:44" ht="18" customHeight="1">
      <c r="L96" s="21">
        <f t="shared" si="6"/>
        <v>1.0895402244948773</v>
      </c>
      <c r="M96" s="10"/>
      <c r="O96" s="10"/>
      <c r="P96" s="86">
        <f>'直波・民消'!I29</f>
        <v>0.040329266779059944</v>
      </c>
      <c r="S96" s="21">
        <f t="shared" si="7"/>
        <v>1.043386280564838</v>
      </c>
      <c r="U96" s="89">
        <f t="shared" si="8"/>
        <v>1.0895402244948773</v>
      </c>
      <c r="V96" s="10"/>
      <c r="W96" s="89">
        <f>'直波・民消'!F29</f>
        <v>0.9576390638065366</v>
      </c>
      <c r="Y96" s="10"/>
      <c r="Z96" s="21">
        <f t="shared" si="12"/>
        <v>1.0754606352963023</v>
      </c>
      <c r="AA96" s="10"/>
      <c r="AB96"/>
      <c r="AC96" s="10"/>
      <c r="AD96" s="96">
        <f>'直波・民消'!G29</f>
        <v>0.03980811162006418</v>
      </c>
      <c r="AG96" s="21">
        <f t="shared" si="9"/>
        <v>0.6211600691686961</v>
      </c>
      <c r="AH96" s="17"/>
      <c r="AJ96" s="17"/>
      <c r="AK96" s="86">
        <f>'直波・民消'!H29</f>
        <v>0.022992203113581747</v>
      </c>
      <c r="AN96" s="21">
        <f t="shared" si="10"/>
        <v>0.4694163985197148</v>
      </c>
      <c r="AO96" s="17"/>
      <c r="AP96" s="89">
        <f t="shared" si="11"/>
        <v>1.0754606352963023</v>
      </c>
      <c r="AQ96" s="17"/>
      <c r="AR96" s="86">
        <f>'直波・民消'!E29</f>
        <v>0.4364793867052</v>
      </c>
    </row>
    <row r="97" spans="12:44" ht="18" customHeight="1">
      <c r="L97" s="21">
        <f t="shared" si="6"/>
        <v>0.6869398945809939</v>
      </c>
      <c r="M97" s="10"/>
      <c r="O97" s="10"/>
      <c r="P97" s="86">
        <f>'直波・民消'!I30</f>
        <v>0.025427039449213533</v>
      </c>
      <c r="S97" s="21">
        <f t="shared" si="7"/>
        <v>0.6446756964846977</v>
      </c>
      <c r="U97" s="89">
        <f t="shared" si="8"/>
        <v>0.6869398945809939</v>
      </c>
      <c r="V97" s="10"/>
      <c r="W97" s="89">
        <f>'直波・民消'!F30</f>
        <v>0.9384746781636903</v>
      </c>
      <c r="Y97" s="10"/>
      <c r="Z97" s="21">
        <f t="shared" si="12"/>
        <v>0.6835360755069818</v>
      </c>
      <c r="AA97" s="10"/>
      <c r="AB97"/>
      <c r="AC97" s="10"/>
      <c r="AD97" s="96">
        <f>'直波・民消'!G30</f>
        <v>0.025301047288100686</v>
      </c>
      <c r="AG97" s="21">
        <f t="shared" si="9"/>
        <v>0.4149579776318397</v>
      </c>
      <c r="AH97" s="17"/>
      <c r="AJ97" s="17"/>
      <c r="AK97" s="86">
        <f>'直波・民消'!H30</f>
        <v>0.015359644927081199</v>
      </c>
      <c r="AN97" s="21">
        <f t="shared" si="10"/>
        <v>0.3357257537705931</v>
      </c>
      <c r="AO97" s="17"/>
      <c r="AP97" s="89">
        <f t="shared" si="11"/>
        <v>0.6835360755069818</v>
      </c>
      <c r="AQ97" s="17"/>
      <c r="AR97" s="86">
        <f>'直波・民消'!E30</f>
        <v>0.49116025591126816</v>
      </c>
    </row>
    <row r="98" spans="12:44" ht="18" customHeight="1">
      <c r="L98" s="21">
        <f t="shared" si="6"/>
        <v>0.7202856295506604</v>
      </c>
      <c r="M98" s="10"/>
      <c r="O98" s="10"/>
      <c r="P98" s="86">
        <f>'直波・民消'!I31</f>
        <v>0.026661329851074538</v>
      </c>
      <c r="S98" s="21">
        <f t="shared" si="7"/>
        <v>0.5935371495360474</v>
      </c>
      <c r="U98" s="89">
        <f t="shared" si="8"/>
        <v>0.7202856295506604</v>
      </c>
      <c r="V98" s="10"/>
      <c r="W98" s="89">
        <f>'直波・民消'!F31</f>
        <v>0.8240302529793866</v>
      </c>
      <c r="Y98" s="10"/>
      <c r="Z98" s="21">
        <f t="shared" si="12"/>
        <v>2.1175892489094448</v>
      </c>
      <c r="AA98" s="10"/>
      <c r="AB98"/>
      <c r="AC98" s="10"/>
      <c r="AD98" s="96">
        <f>'直波・民消'!G31</f>
        <v>0.07838244043475395</v>
      </c>
      <c r="AG98" s="21">
        <f t="shared" si="9"/>
        <v>1.2870765980914523</v>
      </c>
      <c r="AH98" s="17"/>
      <c r="AJ98" s="17"/>
      <c r="AK98" s="86">
        <f>'直波・民消'!H31</f>
        <v>0.047641063930044136</v>
      </c>
      <c r="AN98" s="21">
        <f t="shared" si="10"/>
        <v>0.700269383892894</v>
      </c>
      <c r="AO98" s="17"/>
      <c r="AP98" s="89">
        <f t="shared" si="11"/>
        <v>2.1175892489094448</v>
      </c>
      <c r="AQ98" s="17"/>
      <c r="AR98" s="86">
        <f>'直波・民消'!E31</f>
        <v>0.3306917922130232</v>
      </c>
    </row>
    <row r="99" spans="12:44" ht="18" customHeight="1">
      <c r="L99" s="21">
        <f t="shared" si="6"/>
        <v>2.8392148290799635</v>
      </c>
      <c r="M99" s="10"/>
      <c r="O99" s="10"/>
      <c r="P99" s="86">
        <f>'直波・民消'!I32</f>
        <v>0.10509336847853779</v>
      </c>
      <c r="S99" s="21">
        <f t="shared" si="7"/>
        <v>2.2358569205847556</v>
      </c>
      <c r="U99" s="89">
        <f t="shared" si="8"/>
        <v>2.8392148290799635</v>
      </c>
      <c r="V99" s="10"/>
      <c r="W99" s="89">
        <f>'直波・民消'!F32</f>
        <v>0.787491280224567</v>
      </c>
      <c r="Y99" s="10"/>
      <c r="Z99" s="21">
        <f t="shared" si="12"/>
        <v>2.3409838445610136</v>
      </c>
      <c r="AA99" s="10"/>
      <c r="AB99"/>
      <c r="AC99" s="10"/>
      <c r="AD99" s="96">
        <f>'直波・民消'!G32</f>
        <v>0.08665137814121557</v>
      </c>
      <c r="AG99" s="21">
        <f t="shared" si="9"/>
        <v>1.3719455916889436</v>
      </c>
      <c r="AH99" s="17"/>
      <c r="AJ99" s="17"/>
      <c r="AK99" s="86">
        <f>'直波・民消'!H32</f>
        <v>0.05078248469369732</v>
      </c>
      <c r="AN99" s="21">
        <f t="shared" si="10"/>
        <v>0.6930933399182173</v>
      </c>
      <c r="AO99" s="17"/>
      <c r="AP99" s="89">
        <f t="shared" si="11"/>
        <v>2.3409838445610136</v>
      </c>
      <c r="AQ99" s="17"/>
      <c r="AR99" s="86">
        <f>'直波・民消'!E32</f>
        <v>0.2960692537577882</v>
      </c>
    </row>
    <row r="100" spans="12:44" ht="18" customHeight="1">
      <c r="L100" s="21">
        <f t="shared" si="6"/>
        <v>0</v>
      </c>
      <c r="M100" s="10"/>
      <c r="O100" s="10"/>
      <c r="P100" s="86">
        <f>'直波・民消'!I33</f>
        <v>0</v>
      </c>
      <c r="S100" s="21">
        <f t="shared" si="7"/>
        <v>0</v>
      </c>
      <c r="U100" s="89">
        <f t="shared" si="8"/>
        <v>0</v>
      </c>
      <c r="V100" s="10"/>
      <c r="W100" s="89">
        <f>'直波・民消'!F33</f>
        <v>1</v>
      </c>
      <c r="Y100" s="10"/>
      <c r="Z100" s="21">
        <f t="shared" si="12"/>
        <v>0.061114700771655255</v>
      </c>
      <c r="AA100" s="10"/>
      <c r="AB100"/>
      <c r="AC100" s="10"/>
      <c r="AD100" s="96">
        <f>'直波・民消'!G33</f>
        <v>0.002262157023789711</v>
      </c>
      <c r="AG100" s="21">
        <f t="shared" si="9"/>
        <v>0</v>
      </c>
      <c r="AH100" s="17"/>
      <c r="AJ100" s="17"/>
      <c r="AK100" s="86">
        <f>'直波・民消'!H33</f>
        <v>0</v>
      </c>
      <c r="AN100" s="21">
        <f t="shared" si="10"/>
        <v>0</v>
      </c>
      <c r="AO100" s="17"/>
      <c r="AP100" s="89">
        <f t="shared" si="11"/>
        <v>0.061114700771655255</v>
      </c>
      <c r="AQ100" s="17"/>
      <c r="AR100" s="86">
        <f>'直波・民消'!E33</f>
        <v>0</v>
      </c>
    </row>
    <row r="101" spans="12:44" ht="18" customHeight="1" thickBot="1">
      <c r="L101" s="22">
        <f t="shared" si="6"/>
        <v>0.002517522560082601</v>
      </c>
      <c r="M101" s="10"/>
      <c r="O101" s="10"/>
      <c r="P101" s="87">
        <f>'直波・民消'!I34</f>
        <v>9.318594822411766E-05</v>
      </c>
      <c r="S101" s="22">
        <f t="shared" si="7"/>
        <v>0.002146016317739079</v>
      </c>
      <c r="U101" s="90">
        <f t="shared" si="8"/>
        <v>0.002517522560082601</v>
      </c>
      <c r="V101" s="10"/>
      <c r="W101" s="90">
        <f>'直波・民消'!F34</f>
        <v>0.8524318120385256</v>
      </c>
      <c r="Y101" s="10"/>
      <c r="Z101" s="22">
        <f t="shared" si="12"/>
        <v>0.14308880711437783</v>
      </c>
      <c r="AA101" s="10"/>
      <c r="AB101"/>
      <c r="AC101" s="10"/>
      <c r="AD101" s="97">
        <f>'直波・民消'!G34</f>
        <v>0.005296423707429927</v>
      </c>
      <c r="AG101" s="22">
        <f t="shared" si="9"/>
        <v>0.040622276126599</v>
      </c>
      <c r="AH101" s="17"/>
      <c r="AJ101" s="17"/>
      <c r="AK101" s="87">
        <f>'直波・民消'!H34</f>
        <v>0.0015036311411465025</v>
      </c>
      <c r="AN101" s="22">
        <f t="shared" si="10"/>
        <v>0.018545715063194246</v>
      </c>
      <c r="AO101" s="17"/>
      <c r="AP101" s="90">
        <f t="shared" si="11"/>
        <v>0.14308880711437783</v>
      </c>
      <c r="AQ101" s="17"/>
      <c r="AR101" s="87">
        <f>'直波・民消'!E34</f>
        <v>0.1296098236975989</v>
      </c>
    </row>
    <row r="102" spans="13:43" ht="18" customHeight="1">
      <c r="M102" s="10"/>
      <c r="O102" s="10"/>
      <c r="V102" s="10"/>
      <c r="Y102" s="10"/>
      <c r="AA102" s="10"/>
      <c r="AC102" s="10"/>
      <c r="AH102" s="17"/>
      <c r="AO102" s="17"/>
      <c r="AQ102" s="17"/>
    </row>
    <row r="103" spans="13:43" ht="18" customHeight="1">
      <c r="M103" s="10"/>
      <c r="O103" s="10"/>
      <c r="R103" s="10"/>
      <c r="V103" s="10"/>
      <c r="Y103" s="10"/>
      <c r="AA103" s="10"/>
      <c r="AC103" s="10"/>
      <c r="AG103" s="17"/>
      <c r="AH103" s="17"/>
      <c r="AM103" s="17"/>
      <c r="AO103" s="17"/>
      <c r="AQ103" s="17"/>
    </row>
  </sheetData>
  <sheetProtection sheet="1" objects="1" scenarios="1"/>
  <mergeCells count="1">
    <mergeCell ref="J2:R4"/>
  </mergeCells>
  <printOptions/>
  <pageMargins left="0.3937007874015748" right="0.3937007874015748" top="1.1811023622047245" bottom="0.1968503937007874" header="0.5118110236220472" footer="0.5118110236220472"/>
  <pageSetup fitToHeight="0" horizontalDpi="300" verticalDpi="300" orientation="landscape" paperSize="9" scale="45" r:id="rId2"/>
  <headerFooter alignWithMargins="0">
    <oddHeader>&amp;LFILE=&amp;F,SHEET=&amp;A</oddHeader>
    <oddFooter>&amp;C&amp;P/&amp;N</oddFooter>
  </headerFooter>
  <rowBreaks count="1" manualBreakCount="1">
    <brk id="58"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AF93"/>
  <sheetViews>
    <sheetView showGridLines="0" workbookViewId="0" topLeftCell="A1">
      <selection activeCell="A1" sqref="A1"/>
    </sheetView>
  </sheetViews>
  <sheetFormatPr defaultColWidth="8.796875" defaultRowHeight="14.25"/>
  <cols>
    <col min="1" max="1" width="3.09765625" style="38" customWidth="1"/>
    <col min="2" max="2" width="16.59765625" style="38" customWidth="1"/>
    <col min="3" max="4" width="12.59765625" style="38" customWidth="1"/>
    <col min="5" max="5" width="4.59765625" style="38" customWidth="1"/>
    <col min="6" max="6" width="13.8984375" style="38" customWidth="1"/>
    <col min="7" max="7" width="4.59765625" style="38" customWidth="1"/>
    <col min="8" max="8" width="13" style="38" customWidth="1"/>
    <col min="9" max="9" width="4.59765625" style="38" customWidth="1"/>
    <col min="10" max="10" width="2.59765625" style="38" customWidth="1"/>
    <col min="11" max="11" width="3.09765625" style="38" customWidth="1"/>
    <col min="12" max="12" width="16.59765625" style="38" customWidth="1"/>
    <col min="13" max="14" width="12.59765625" style="38" customWidth="1"/>
    <col min="15" max="15" width="4.59765625" style="38" customWidth="1"/>
    <col min="16" max="16" width="12.59765625" style="38" customWidth="1"/>
    <col min="17" max="17" width="4.59765625" style="38" customWidth="1"/>
    <col min="18" max="18" width="12.59765625" style="38" customWidth="1"/>
    <col min="19" max="19" width="4.59765625" style="38" customWidth="1"/>
    <col min="20" max="20" width="2.59765625" style="38" customWidth="1"/>
    <col min="21" max="21" width="3.09765625" style="38" customWidth="1"/>
    <col min="22" max="22" width="16.59765625" style="38" customWidth="1"/>
    <col min="23" max="24" width="12.59765625" style="38" customWidth="1"/>
    <col min="25" max="25" width="4.59765625" style="38" customWidth="1"/>
    <col min="26" max="26" width="12.59765625" style="38" customWidth="1"/>
    <col min="27" max="27" width="4.59765625" style="38" customWidth="1"/>
    <col min="28" max="28" width="12.59765625" style="38" customWidth="1"/>
    <col min="29" max="29" width="4.59765625" style="38" customWidth="1"/>
    <col min="30" max="31" width="9" style="38" customWidth="1"/>
    <col min="32" max="32" width="15" style="38" customWidth="1"/>
    <col min="33" max="16384" width="9" style="38" customWidth="1"/>
  </cols>
  <sheetData>
    <row r="1" spans="2:29" ht="18.75">
      <c r="B1" s="39"/>
      <c r="C1" s="39"/>
      <c r="D1" s="39"/>
      <c r="E1" s="39"/>
      <c r="F1" s="39"/>
      <c r="G1" s="39"/>
      <c r="H1" s="216" t="str">
        <f>VLOOKUP('入力SHEET'!$L$6,'入力SHEET'!B2:C34,2)&amp;"部門に"&amp;'入力SHEET'!L12&amp;'入力SHEET'!L15&amp;"の需要が発生した場合の経済波及効果分析結果の詳細"</f>
        <v>建設部門に100億円の需要が発生した場合の経済波及効果分析結果の詳細</v>
      </c>
      <c r="I1" s="216"/>
      <c r="J1" s="216"/>
      <c r="K1" s="216"/>
      <c r="L1" s="216"/>
      <c r="M1" s="216"/>
      <c r="N1" s="216"/>
      <c r="O1" s="216"/>
      <c r="P1" s="216"/>
      <c r="Q1" s="216"/>
      <c r="R1" s="216"/>
      <c r="S1" s="216"/>
      <c r="T1" s="216"/>
      <c r="U1" s="216"/>
      <c r="V1" s="216"/>
      <c r="W1" s="42"/>
      <c r="X1" s="39"/>
      <c r="Y1" s="39"/>
      <c r="Z1" s="39"/>
      <c r="AA1" s="39"/>
      <c r="AB1" s="39"/>
      <c r="AC1" s="39"/>
    </row>
    <row r="2" ht="12">
      <c r="AB2" s="38" t="s">
        <v>143</v>
      </c>
    </row>
    <row r="3" spans="1:29" s="128" customFormat="1" ht="24.75" customHeight="1">
      <c r="A3" s="214" t="s">
        <v>98</v>
      </c>
      <c r="B3" s="215"/>
      <c r="C3" s="123" t="s">
        <v>144</v>
      </c>
      <c r="D3" s="124" t="s">
        <v>85</v>
      </c>
      <c r="E3" s="125" t="s">
        <v>99</v>
      </c>
      <c r="F3" s="124" t="s">
        <v>93</v>
      </c>
      <c r="G3" s="125" t="s">
        <v>99</v>
      </c>
      <c r="H3" s="126" t="s">
        <v>95</v>
      </c>
      <c r="I3" s="127" t="s">
        <v>100</v>
      </c>
      <c r="K3" s="214" t="s">
        <v>97</v>
      </c>
      <c r="L3" s="215"/>
      <c r="M3" s="123" t="s">
        <v>144</v>
      </c>
      <c r="N3" s="124" t="s">
        <v>85</v>
      </c>
      <c r="O3" s="125" t="s">
        <v>99</v>
      </c>
      <c r="P3" s="124" t="s">
        <v>93</v>
      </c>
      <c r="Q3" s="125" t="s">
        <v>99</v>
      </c>
      <c r="R3" s="126" t="s">
        <v>95</v>
      </c>
      <c r="S3" s="127" t="s">
        <v>100</v>
      </c>
      <c r="U3" s="214" t="s">
        <v>96</v>
      </c>
      <c r="V3" s="215"/>
      <c r="W3" s="123" t="s">
        <v>144</v>
      </c>
      <c r="X3" s="124" t="s">
        <v>85</v>
      </c>
      <c r="Y3" s="125" t="s">
        <v>99</v>
      </c>
      <c r="Z3" s="124" t="s">
        <v>93</v>
      </c>
      <c r="AA3" s="125" t="s">
        <v>99</v>
      </c>
      <c r="AB3" s="126" t="s">
        <v>95</v>
      </c>
      <c r="AC3" s="127" t="s">
        <v>100</v>
      </c>
    </row>
    <row r="4" spans="1:29" s="137" customFormat="1" ht="24.75" customHeight="1">
      <c r="A4" s="129">
        <f>'入力SHEET'!B4</f>
        <v>1</v>
      </c>
      <c r="B4" s="130" t="str">
        <f>'入力SHEET'!C4</f>
        <v>農林水産業</v>
      </c>
      <c r="C4" s="131">
        <f>IF('入力SHEET'!$L$6=1,'入力SHEET'!$L$12*10000,"")</f>
      </c>
      <c r="D4" s="132">
        <f>'分析過程'!L26*10000</f>
        <v>381.2548765490523</v>
      </c>
      <c r="E4" s="133">
        <f aca="true" t="shared" si="0" ref="E4:E35">RANK(D4,$D$4:$D$35)</f>
        <v>24</v>
      </c>
      <c r="F4" s="134">
        <f>'分析過程'!Z70*10000</f>
        <v>1790.8951731283432</v>
      </c>
      <c r="G4" s="133">
        <f>RANK(F4,$F$4:$F$35)</f>
        <v>18</v>
      </c>
      <c r="H4" s="135">
        <f>IF('入力SHEET'!$L$6=1,C4+D4+F4,D4+F4)</f>
        <v>2172.1500496773956</v>
      </c>
      <c r="I4" s="136">
        <f>RANK(H4,$H$4:$H$35)</f>
        <v>23</v>
      </c>
      <c r="K4" s="129">
        <f>'入力SHEET'!B4</f>
        <v>1</v>
      </c>
      <c r="L4" s="130" t="str">
        <f>'入力SHEET'!C4</f>
        <v>農林水産業</v>
      </c>
      <c r="M4" s="138">
        <f>IF('入力SHEET'!$L$6=1,'分析過程'!$C$9*10000,"")</f>
      </c>
      <c r="N4" s="139">
        <f>'分析過程'!S26*10000</f>
        <v>181.35471263461332</v>
      </c>
      <c r="O4" s="133">
        <f aca="true" t="shared" si="1" ref="O4:O35">RANK(N4,$N$4:$N$35)</f>
        <v>22</v>
      </c>
      <c r="P4" s="139">
        <f>'分析過程'!AG70*10000</f>
        <v>851.8901644517576</v>
      </c>
      <c r="Q4" s="133">
        <f aca="true" t="shared" si="2" ref="Q4:Q35">RANK(P4,$P$4:$P$35)</f>
        <v>18</v>
      </c>
      <c r="R4" s="140">
        <f>IF('入力SHEET'!$L$6=1,M4+N4+P4,N4+P4)</f>
        <v>1033.244877086371</v>
      </c>
      <c r="S4" s="136">
        <f aca="true" t="shared" si="3" ref="S4:S35">RANK(R4,$R$4:$R$35)</f>
        <v>23</v>
      </c>
      <c r="U4" s="129">
        <f>'入力SHEET'!B4</f>
        <v>1</v>
      </c>
      <c r="V4" s="130" t="str">
        <f>'入力SHEET'!C4</f>
        <v>農林水産業</v>
      </c>
      <c r="W4" s="141">
        <f>IF('入力SHEET'!$L$6=1,'分析過程'!$C$13*10000,"")</f>
      </c>
      <c r="X4" s="139">
        <f>'分析過程'!Z26*10000</f>
        <v>28.011071454120344</v>
      </c>
      <c r="Y4" s="133">
        <f>RANK(X4,$X$4:$X$35)</f>
        <v>25</v>
      </c>
      <c r="Z4" s="139">
        <f>'分析過程'!AN70*10000</f>
        <v>131.578363312772</v>
      </c>
      <c r="AA4" s="133">
        <f>RANK(Z4,$Z$4:$Z$35)</f>
        <v>23</v>
      </c>
      <c r="AB4" s="140">
        <f>IF('入力SHEET'!$L$6=1,W4+X4+Z4,X4+Z4)</f>
        <v>159.58943476689237</v>
      </c>
      <c r="AC4" s="136">
        <f>RANK(AB4,$AB$4:$AB$35)</f>
        <v>26</v>
      </c>
    </row>
    <row r="5" spans="1:29" s="137" customFormat="1" ht="24.75" customHeight="1">
      <c r="A5" s="129">
        <f>'入力SHEET'!B5</f>
        <v>2</v>
      </c>
      <c r="B5" s="130" t="str">
        <f>'入力SHEET'!C5</f>
        <v>鉱業</v>
      </c>
      <c r="C5" s="142">
        <f>IF('入力SHEET'!$L$6=2,'入力SHEET'!$L$12*10000,"")</f>
      </c>
      <c r="D5" s="132">
        <f>'分析過程'!L27*10000</f>
        <v>2841.71187824542</v>
      </c>
      <c r="E5" s="143">
        <f t="shared" si="0"/>
        <v>14</v>
      </c>
      <c r="F5" s="134">
        <f>'分析過程'!Z71*10000</f>
        <v>82.0188519956757</v>
      </c>
      <c r="G5" s="143">
        <f aca="true" t="shared" si="4" ref="G5:G35">RANK(F5,$F$4:$F$35)</f>
        <v>28</v>
      </c>
      <c r="H5" s="135">
        <f>IF('入力SHEET'!$L$6=2,C5+D5+F5,D5+F5)</f>
        <v>2923.7307302410954</v>
      </c>
      <c r="I5" s="144">
        <f aca="true" t="shared" si="5" ref="I5:I35">RANK(H5,$H$4:$H$35)</f>
        <v>22</v>
      </c>
      <c r="K5" s="129">
        <f>'入力SHEET'!B5</f>
        <v>2</v>
      </c>
      <c r="L5" s="130" t="str">
        <f>'入力SHEET'!C5</f>
        <v>鉱業</v>
      </c>
      <c r="M5" s="145">
        <f>IF('入力SHEET'!$L$6=2,'分析過程'!$C$9*10000,"")</f>
      </c>
      <c r="N5" s="139">
        <f>'分析過程'!S27*10000</f>
        <v>1487.2967831406045</v>
      </c>
      <c r="O5" s="143">
        <f t="shared" si="1"/>
        <v>9</v>
      </c>
      <c r="P5" s="139">
        <f>'分析過程'!AG71*10000</f>
        <v>42.9270735235033</v>
      </c>
      <c r="Q5" s="143">
        <f t="shared" si="2"/>
        <v>27</v>
      </c>
      <c r="R5" s="140">
        <f>IF('入力SHEET'!$L$6=2,M5+N5+P5,N5+P5)</f>
        <v>1530.2238566641079</v>
      </c>
      <c r="S5" s="144">
        <f t="shared" si="3"/>
        <v>19</v>
      </c>
      <c r="U5" s="129">
        <f>'入力SHEET'!B5</f>
        <v>2</v>
      </c>
      <c r="V5" s="130" t="str">
        <f>'入力SHEET'!C5</f>
        <v>鉱業</v>
      </c>
      <c r="W5" s="146">
        <f>IF('入力SHEET'!$L$6=2,'分析過程'!$C$13*10000,"")</f>
      </c>
      <c r="X5" s="139">
        <f>'分析過程'!Z27*10000</f>
        <v>532.6851913474211</v>
      </c>
      <c r="Y5" s="143">
        <f aca="true" t="shared" si="6" ref="Y5:Y35">RANK(X5,$X$4:$X$35)</f>
        <v>14</v>
      </c>
      <c r="Z5" s="139">
        <f>'分析過程'!AN71*10000</f>
        <v>15.374615633583627</v>
      </c>
      <c r="AA5" s="143">
        <f aca="true" t="shared" si="7" ref="AA5:AA35">RANK(Z5,$Z$4:$Z$35)</f>
        <v>27</v>
      </c>
      <c r="AB5" s="140">
        <f>IF('入力SHEET'!$L$6=2,W5+X5+Z5,X5+Z5)</f>
        <v>548.0598069810047</v>
      </c>
      <c r="AC5" s="144">
        <f aca="true" t="shared" si="8" ref="AC5:AC35">RANK(AB5,$AB$4:$AB$35)</f>
        <v>23</v>
      </c>
    </row>
    <row r="6" spans="1:29" s="137" customFormat="1" ht="24.75" customHeight="1">
      <c r="A6" s="129">
        <f>'入力SHEET'!B6</f>
        <v>3</v>
      </c>
      <c r="B6" s="130" t="str">
        <f>'入力SHEET'!C6</f>
        <v>食料品</v>
      </c>
      <c r="C6" s="142">
        <f>IF('入力SHEET'!$L$6=3,'入力SHEET'!$L$12*10000,"")</f>
      </c>
      <c r="D6" s="132">
        <f>'分析過程'!L28*10000</f>
        <v>42.77921583068313</v>
      </c>
      <c r="E6" s="143">
        <f t="shared" si="0"/>
        <v>31</v>
      </c>
      <c r="F6" s="134">
        <f>'分析過程'!Z72*10000</f>
        <v>7937.628137086412</v>
      </c>
      <c r="G6" s="143">
        <f t="shared" si="4"/>
        <v>11</v>
      </c>
      <c r="H6" s="135">
        <f>IF('入力SHEET'!$L$6=3,C6+D6+F6,D6+F6)</f>
        <v>7980.407352917095</v>
      </c>
      <c r="I6" s="144">
        <f t="shared" si="5"/>
        <v>13</v>
      </c>
      <c r="K6" s="129">
        <f>'入力SHEET'!B6</f>
        <v>3</v>
      </c>
      <c r="L6" s="130" t="str">
        <f>'入力SHEET'!C6</f>
        <v>食料品</v>
      </c>
      <c r="M6" s="145">
        <f>IF('入力SHEET'!$L$6=3,'分析過程'!$C$9*10000,"")</f>
      </c>
      <c r="N6" s="139">
        <f>'分析過程'!S28*10000</f>
        <v>16.12732662595881</v>
      </c>
      <c r="O6" s="143">
        <f t="shared" si="1"/>
        <v>30</v>
      </c>
      <c r="P6" s="139">
        <f>'分析過程'!AG72*10000</f>
        <v>2992.4045851812257</v>
      </c>
      <c r="Q6" s="143">
        <f t="shared" si="2"/>
        <v>12</v>
      </c>
      <c r="R6" s="140">
        <f>IF('入力SHEET'!$L$6=3,M6+N6+P6,N6+P6)</f>
        <v>3008.5319118071843</v>
      </c>
      <c r="S6" s="144">
        <f t="shared" si="3"/>
        <v>14</v>
      </c>
      <c r="U6" s="129">
        <f>'入力SHEET'!B6</f>
        <v>3</v>
      </c>
      <c r="V6" s="130" t="str">
        <f>'入力SHEET'!C6</f>
        <v>食料品</v>
      </c>
      <c r="W6" s="146">
        <f>IF('入力SHEET'!$L$6=3,'分析過程'!$C$13*10000,"")</f>
      </c>
      <c r="X6" s="139">
        <f>'分析過程'!Z28*10000</f>
        <v>4.982910326684517</v>
      </c>
      <c r="Y6" s="143">
        <f t="shared" si="6"/>
        <v>30</v>
      </c>
      <c r="Z6" s="139">
        <f>'分析過程'!AN72*10000</f>
        <v>924.572562765414</v>
      </c>
      <c r="AA6" s="143">
        <f t="shared" si="7"/>
        <v>14</v>
      </c>
      <c r="AB6" s="140">
        <f>IF('入力SHEET'!$L$6=3,W6+X6+Z6,X6+Z6)</f>
        <v>929.5554730920985</v>
      </c>
      <c r="AC6" s="144">
        <f t="shared" si="8"/>
        <v>18</v>
      </c>
    </row>
    <row r="7" spans="1:29" s="137" customFormat="1" ht="24.75" customHeight="1">
      <c r="A7" s="129">
        <f>'入力SHEET'!B7</f>
        <v>4</v>
      </c>
      <c r="B7" s="130" t="str">
        <f>'入力SHEET'!C7</f>
        <v>繊維製品</v>
      </c>
      <c r="C7" s="142">
        <f>IF('入力SHEET'!$L$6=4,'入力SHEET'!$L$12*10000,"")</f>
      </c>
      <c r="D7" s="132">
        <f>'分析過程'!L29*10000</f>
        <v>102.02008450169173</v>
      </c>
      <c r="E7" s="143">
        <f t="shared" si="0"/>
        <v>28</v>
      </c>
      <c r="F7" s="134">
        <f>'分析過程'!Z73*10000</f>
        <v>1097.491935327614</v>
      </c>
      <c r="G7" s="143">
        <f t="shared" si="4"/>
        <v>23</v>
      </c>
      <c r="H7" s="135">
        <f>IF('入力SHEET'!$L$6=4,C7+D7+F7,D7+F7)</f>
        <v>1199.512019829306</v>
      </c>
      <c r="I7" s="144">
        <f t="shared" si="5"/>
        <v>26</v>
      </c>
      <c r="K7" s="129">
        <f>'入力SHEET'!B7</f>
        <v>4</v>
      </c>
      <c r="L7" s="130" t="str">
        <f>'入力SHEET'!C7</f>
        <v>繊維製品</v>
      </c>
      <c r="M7" s="145">
        <f>IF('入力SHEET'!$L$6=4,'分析過程'!$C$9*10000,"")</f>
      </c>
      <c r="N7" s="139">
        <f>'分析過程'!S29*10000</f>
        <v>34.43456164626747</v>
      </c>
      <c r="O7" s="143">
        <f t="shared" si="1"/>
        <v>27</v>
      </c>
      <c r="P7" s="139">
        <f>'分析過程'!AG73*10000</f>
        <v>370.4334679579043</v>
      </c>
      <c r="Q7" s="143">
        <f t="shared" si="2"/>
        <v>23</v>
      </c>
      <c r="R7" s="140">
        <f>IF('入力SHEET'!$L$6=4,M7+N7+P7,N7+P7)</f>
        <v>404.8680296041718</v>
      </c>
      <c r="S7" s="144">
        <f t="shared" si="3"/>
        <v>26</v>
      </c>
      <c r="U7" s="129">
        <f>'入力SHEET'!B7</f>
        <v>4</v>
      </c>
      <c r="V7" s="130" t="str">
        <f>'入力SHEET'!C7</f>
        <v>繊維製品</v>
      </c>
      <c r="W7" s="146">
        <f>IF('入力SHEET'!$L$6=4,'分析過程'!$C$13*10000,"")</f>
      </c>
      <c r="X7" s="139">
        <f>'分析過程'!Z29*10000</f>
        <v>22.316222543738075</v>
      </c>
      <c r="Y7" s="143">
        <f t="shared" si="6"/>
        <v>27</v>
      </c>
      <c r="Z7" s="139">
        <f>'分析過程'!AN73*10000</f>
        <v>240.06914313350427</v>
      </c>
      <c r="AA7" s="143">
        <f t="shared" si="7"/>
        <v>19</v>
      </c>
      <c r="AB7" s="140">
        <f>IF('入力SHEET'!$L$6=4,W7+X7+Z7,X7+Z7)</f>
        <v>262.38536567724236</v>
      </c>
      <c r="AC7" s="144">
        <f t="shared" si="8"/>
        <v>24</v>
      </c>
    </row>
    <row r="8" spans="1:29" s="137" customFormat="1" ht="24.75" customHeight="1">
      <c r="A8" s="129">
        <f>'入力SHEET'!B8</f>
        <v>5</v>
      </c>
      <c r="B8" s="130" t="str">
        <f>'入力SHEET'!C8</f>
        <v>ﾊﾟﾙﾌﾟ･紙･木製品</v>
      </c>
      <c r="C8" s="142">
        <f>IF('入力SHEET'!$L$6=5,'入力SHEET'!$L$12*10000,"")</f>
      </c>
      <c r="D8" s="132">
        <f>'分析過程'!L30*10000</f>
        <v>3222.7324489045627</v>
      </c>
      <c r="E8" s="143">
        <f t="shared" si="0"/>
        <v>10</v>
      </c>
      <c r="F8" s="134">
        <f>'分析過程'!Z74*10000</f>
        <v>1162.5038599880368</v>
      </c>
      <c r="G8" s="143">
        <f t="shared" si="4"/>
        <v>22</v>
      </c>
      <c r="H8" s="135">
        <f>IF('入力SHEET'!$L$6=5,C8+D8+F8,D8+F8)</f>
        <v>4385.2363088925995</v>
      </c>
      <c r="I8" s="144">
        <f t="shared" si="5"/>
        <v>18</v>
      </c>
      <c r="K8" s="129">
        <f>'入力SHEET'!B8</f>
        <v>5</v>
      </c>
      <c r="L8" s="130" t="str">
        <f>'入力SHEET'!C8</f>
        <v>ﾊﾟﾙﾌﾟ･紙･木製品</v>
      </c>
      <c r="M8" s="145">
        <f>IF('入力SHEET'!$L$6=5,'分析過程'!$C$9*10000,"")</f>
      </c>
      <c r="N8" s="139">
        <f>'分析過程'!S30*10000</f>
        <v>1042.085183505124</v>
      </c>
      <c r="O8" s="143">
        <f t="shared" si="1"/>
        <v>15</v>
      </c>
      <c r="P8" s="139">
        <f>'分析過程'!AG74*10000</f>
        <v>375.90090628616224</v>
      </c>
      <c r="Q8" s="143">
        <f t="shared" si="2"/>
        <v>22</v>
      </c>
      <c r="R8" s="140">
        <f>IF('入力SHEET'!$L$6=5,M8+N8+P8,N8+P8)</f>
        <v>1417.9860897912863</v>
      </c>
      <c r="S8" s="144">
        <f t="shared" si="3"/>
        <v>22</v>
      </c>
      <c r="U8" s="129">
        <f>'入力SHEET'!B8</f>
        <v>5</v>
      </c>
      <c r="V8" s="130" t="str">
        <f>'入力SHEET'!C8</f>
        <v>ﾊﾟﾙﾌﾟ･紙･木製品</v>
      </c>
      <c r="W8" s="146">
        <f>IF('入力SHEET'!$L$6=5,'分析過程'!$C$13*10000,"")</f>
      </c>
      <c r="X8" s="139">
        <f>'分析過程'!Z30*10000</f>
        <v>602.9043354810069</v>
      </c>
      <c r="Y8" s="143">
        <f t="shared" si="6"/>
        <v>12</v>
      </c>
      <c r="Z8" s="139">
        <f>'分析過程'!AN74*10000</f>
        <v>217.47961654043857</v>
      </c>
      <c r="AA8" s="143">
        <f t="shared" si="7"/>
        <v>20</v>
      </c>
      <c r="AB8" s="140">
        <f>IF('入力SHEET'!$L$6=5,W8+X8+Z8,X8+Z8)</f>
        <v>820.3839520214455</v>
      </c>
      <c r="AC8" s="144">
        <f t="shared" si="8"/>
        <v>19</v>
      </c>
    </row>
    <row r="9" spans="1:29" s="137" customFormat="1" ht="24.75" customHeight="1">
      <c r="A9" s="129">
        <f>'入力SHEET'!B9</f>
        <v>6</v>
      </c>
      <c r="B9" s="130" t="str">
        <f>'入力SHEET'!C9</f>
        <v>化学製品</v>
      </c>
      <c r="C9" s="142">
        <f>IF('入力SHEET'!$L$6=6,'入力SHEET'!$L$12*10000,"")</f>
      </c>
      <c r="D9" s="132">
        <f>'分析過程'!L31*10000</f>
        <v>445.4845398881857</v>
      </c>
      <c r="E9" s="143">
        <f t="shared" si="0"/>
        <v>22</v>
      </c>
      <c r="F9" s="134">
        <f>'分析過程'!Z75*10000</f>
        <v>1335.0163102129866</v>
      </c>
      <c r="G9" s="143">
        <f t="shared" si="4"/>
        <v>20</v>
      </c>
      <c r="H9" s="135">
        <f>IF('入力SHEET'!$L$6=6,C9+D9+F9,D9+F9)</f>
        <v>1780.5008501011723</v>
      </c>
      <c r="I9" s="144">
        <f t="shared" si="5"/>
        <v>25</v>
      </c>
      <c r="K9" s="129">
        <f>'入力SHEET'!B9</f>
        <v>6</v>
      </c>
      <c r="L9" s="130" t="str">
        <f>'入力SHEET'!C9</f>
        <v>化学製品</v>
      </c>
      <c r="M9" s="145">
        <f>IF('入力SHEET'!$L$6=6,'分析過程'!$C$9*10000,"")</f>
      </c>
      <c r="N9" s="139">
        <f>'分析過程'!S31*10000</f>
        <v>149.2782259917074</v>
      </c>
      <c r="O9" s="143">
        <f t="shared" si="1"/>
        <v>23</v>
      </c>
      <c r="P9" s="139">
        <f>'分析過程'!AG75*10000</f>
        <v>447.3530473327088</v>
      </c>
      <c r="Q9" s="143">
        <f t="shared" si="2"/>
        <v>20</v>
      </c>
      <c r="R9" s="140">
        <f>IF('入力SHEET'!$L$6=6,M9+N9+P9,N9+P9)</f>
        <v>596.6312733244162</v>
      </c>
      <c r="S9" s="144">
        <f t="shared" si="3"/>
        <v>25</v>
      </c>
      <c r="U9" s="129">
        <f>'入力SHEET'!B9</f>
        <v>6</v>
      </c>
      <c r="V9" s="130" t="str">
        <f>'入力SHEET'!C9</f>
        <v>化学製品</v>
      </c>
      <c r="W9" s="146">
        <f>IF('入力SHEET'!$L$6=6,'分析過程'!$C$13*10000,"")</f>
      </c>
      <c r="X9" s="139">
        <f>'分析過程'!Z31*10000</f>
        <v>64.66657547566432</v>
      </c>
      <c r="Y9" s="143">
        <f t="shared" si="6"/>
        <v>22</v>
      </c>
      <c r="Z9" s="139">
        <f>'分析過程'!AN75*10000</f>
        <v>193.7910864590264</v>
      </c>
      <c r="AA9" s="143">
        <f t="shared" si="7"/>
        <v>21</v>
      </c>
      <c r="AB9" s="140">
        <f>IF('入力SHEET'!$L$6=6,W9+X9+Z9,X9+Z9)</f>
        <v>258.4576619346907</v>
      </c>
      <c r="AC9" s="144">
        <f t="shared" si="8"/>
        <v>25</v>
      </c>
    </row>
    <row r="10" spans="1:29" s="137" customFormat="1" ht="24.75" customHeight="1">
      <c r="A10" s="129">
        <f>'入力SHEET'!B10</f>
        <v>7</v>
      </c>
      <c r="B10" s="130" t="str">
        <f>'入力SHEET'!C10</f>
        <v>石油･石炭製品</v>
      </c>
      <c r="C10" s="142">
        <f>IF('入力SHEET'!$L$6=7,'入力SHEET'!$L$12*10000,"")</f>
      </c>
      <c r="D10" s="132">
        <f>'分析過程'!L32*10000</f>
        <v>76.61870562093817</v>
      </c>
      <c r="E10" s="143">
        <f t="shared" si="0"/>
        <v>30</v>
      </c>
      <c r="F10" s="134">
        <f>'分析過程'!Z76*10000</f>
        <v>68.00037676125952</v>
      </c>
      <c r="G10" s="143">
        <f t="shared" si="4"/>
        <v>29</v>
      </c>
      <c r="H10" s="135">
        <f>IF('入力SHEET'!$L$6=7,C10+D10+F10,D10+F10)</f>
        <v>144.6190823821977</v>
      </c>
      <c r="I10" s="144">
        <f t="shared" si="5"/>
        <v>31</v>
      </c>
      <c r="K10" s="129">
        <f>'入力SHEET'!B10</f>
        <v>7</v>
      </c>
      <c r="L10" s="130" t="str">
        <f>'入力SHEET'!C10</f>
        <v>石油･石炭製品</v>
      </c>
      <c r="M10" s="145">
        <f>IF('入力SHEET'!$L$6=7,'分析過程'!$C$9*10000,"")</f>
      </c>
      <c r="N10" s="139">
        <f>'分析過程'!S32*10000</f>
        <v>24.059366731359763</v>
      </c>
      <c r="O10" s="143">
        <f t="shared" si="1"/>
        <v>29</v>
      </c>
      <c r="P10" s="139">
        <f>'分析過程'!AG76*10000</f>
        <v>21.353088506400997</v>
      </c>
      <c r="Q10" s="143">
        <f t="shared" si="2"/>
        <v>29</v>
      </c>
      <c r="R10" s="140">
        <f>IF('入力SHEET'!$L$6=7,M10+N10+P10,N10+P10)</f>
        <v>45.41245523776076</v>
      </c>
      <c r="S10" s="144">
        <f t="shared" si="3"/>
        <v>30</v>
      </c>
      <c r="U10" s="129">
        <f>'入力SHEET'!B10</f>
        <v>7</v>
      </c>
      <c r="V10" s="130" t="str">
        <f>'入力SHEET'!C10</f>
        <v>石油･石炭製品</v>
      </c>
      <c r="W10" s="146">
        <f>IF('入力SHEET'!$L$6=7,'分析過程'!$C$13*10000,"")</f>
      </c>
      <c r="X10" s="139">
        <f>'分析過程'!Z32*10000</f>
        <v>9.070425926846948</v>
      </c>
      <c r="Y10" s="143">
        <f t="shared" si="6"/>
        <v>29</v>
      </c>
      <c r="Z10" s="139">
        <f>'分析過程'!AN76*10000</f>
        <v>8.050154011504647</v>
      </c>
      <c r="AA10" s="143">
        <f t="shared" si="7"/>
        <v>29</v>
      </c>
      <c r="AB10" s="140">
        <f>IF('入力SHEET'!$L$6=7,W10+X10+Z10,X10+Z10)</f>
        <v>17.120579938351597</v>
      </c>
      <c r="AC10" s="144">
        <f t="shared" si="8"/>
        <v>30</v>
      </c>
    </row>
    <row r="11" spans="1:29" s="137" customFormat="1" ht="24.75" customHeight="1">
      <c r="A11" s="129">
        <f>'入力SHEET'!B11</f>
        <v>8</v>
      </c>
      <c r="B11" s="130" t="str">
        <f>'入力SHEET'!C11</f>
        <v>窯業･土石製品</v>
      </c>
      <c r="C11" s="142">
        <f>IF('入力SHEET'!$L$6=8,'入力SHEET'!$L$12*10000,"")</f>
      </c>
      <c r="D11" s="132">
        <f>'分析過程'!L33*10000</f>
        <v>4049.3775787529266</v>
      </c>
      <c r="E11" s="143">
        <f t="shared" si="0"/>
        <v>8</v>
      </c>
      <c r="F11" s="134">
        <f>'分析過程'!Z77*10000</f>
        <v>221.4805792186297</v>
      </c>
      <c r="G11" s="143">
        <f t="shared" si="4"/>
        <v>26</v>
      </c>
      <c r="H11" s="135">
        <f>IF('入力SHEET'!$L$6=8,C11+D11+F11,D11+F11)</f>
        <v>4270.8581579715565</v>
      </c>
      <c r="I11" s="144">
        <f t="shared" si="5"/>
        <v>19</v>
      </c>
      <c r="K11" s="129">
        <f>'入力SHEET'!B11</f>
        <v>8</v>
      </c>
      <c r="L11" s="130" t="str">
        <f>'入力SHEET'!C11</f>
        <v>窯業･土石製品</v>
      </c>
      <c r="M11" s="145">
        <f>IF('入力SHEET'!$L$6=8,'分析過程'!$C$9*10000,"")</f>
      </c>
      <c r="N11" s="139">
        <f>'分析過程'!S33*10000</f>
        <v>1345.4658009498178</v>
      </c>
      <c r="O11" s="143">
        <f t="shared" si="1"/>
        <v>10</v>
      </c>
      <c r="P11" s="139">
        <f>'分析過程'!AG77*10000</f>
        <v>73.59020963537698</v>
      </c>
      <c r="Q11" s="143">
        <f t="shared" si="2"/>
        <v>25</v>
      </c>
      <c r="R11" s="140">
        <f>IF('入力SHEET'!$L$6=8,M11+N11+P11,N11+P11)</f>
        <v>1419.0560105851948</v>
      </c>
      <c r="S11" s="144">
        <f t="shared" si="3"/>
        <v>21</v>
      </c>
      <c r="U11" s="129">
        <f>'入力SHEET'!B11</f>
        <v>8</v>
      </c>
      <c r="V11" s="130" t="str">
        <f>'入力SHEET'!C11</f>
        <v>窯業･土石製品</v>
      </c>
      <c r="W11" s="146">
        <f>IF('入力SHEET'!$L$6=8,'分析過程'!$C$13*10000,"")</f>
      </c>
      <c r="X11" s="139">
        <f>'分析過程'!Z33*10000</f>
        <v>772.2285167085282</v>
      </c>
      <c r="Y11" s="143">
        <f t="shared" si="6"/>
        <v>8</v>
      </c>
      <c r="Z11" s="139">
        <f>'分析過程'!AN77*10000</f>
        <v>42.23701441603298</v>
      </c>
      <c r="AA11" s="143">
        <f t="shared" si="7"/>
        <v>25</v>
      </c>
      <c r="AB11" s="140">
        <f>IF('入力SHEET'!$L$6=8,W11+X11+Z11,X11+Z11)</f>
        <v>814.4655311245612</v>
      </c>
      <c r="AC11" s="144">
        <f t="shared" si="8"/>
        <v>20</v>
      </c>
    </row>
    <row r="12" spans="1:29" s="137" customFormat="1" ht="24.75" customHeight="1">
      <c r="A12" s="129">
        <f>'入力SHEET'!B12</f>
        <v>9</v>
      </c>
      <c r="B12" s="130" t="str">
        <f>'入力SHEET'!C12</f>
        <v>鉄鋼</v>
      </c>
      <c r="C12" s="142">
        <f>IF('入力SHEET'!$L$6=9,'入力SHEET'!$L$12*10000,"")</f>
      </c>
      <c r="D12" s="132">
        <f>'分析過程'!L34*10000</f>
        <v>83.92414145110872</v>
      </c>
      <c r="E12" s="143">
        <f t="shared" si="0"/>
        <v>29</v>
      </c>
      <c r="F12" s="134">
        <f>'分析過程'!Z78*10000</f>
        <v>6.126561821537702</v>
      </c>
      <c r="G12" s="143">
        <f t="shared" si="4"/>
        <v>32</v>
      </c>
      <c r="H12" s="135">
        <f>IF('入力SHEET'!$L$6=9,C12+D12+F12,D12+F12)</f>
        <v>90.05070327264643</v>
      </c>
      <c r="I12" s="144">
        <f t="shared" si="5"/>
        <v>32</v>
      </c>
      <c r="K12" s="129">
        <f>'入力SHEET'!B12</f>
        <v>9</v>
      </c>
      <c r="L12" s="130" t="str">
        <f>'入力SHEET'!C12</f>
        <v>鉄鋼</v>
      </c>
      <c r="M12" s="145">
        <f>IF('入力SHEET'!$L$6=9,'分析過程'!$C$9*10000,"")</f>
      </c>
      <c r="N12" s="139">
        <f>'分析過程'!S34*10000</f>
        <v>28.23390336968608</v>
      </c>
      <c r="O12" s="143">
        <f t="shared" si="1"/>
        <v>28</v>
      </c>
      <c r="P12" s="139">
        <f>'分析過程'!AG78*10000</f>
        <v>2.0611084184694777</v>
      </c>
      <c r="Q12" s="143">
        <f t="shared" si="2"/>
        <v>31</v>
      </c>
      <c r="R12" s="140">
        <f>IF('入力SHEET'!$L$6=9,M12+N12+P12,N12+P12)</f>
        <v>30.295011788155556</v>
      </c>
      <c r="S12" s="144">
        <f t="shared" si="3"/>
        <v>31</v>
      </c>
      <c r="U12" s="129">
        <f>'入力SHEET'!B12</f>
        <v>9</v>
      </c>
      <c r="V12" s="130" t="str">
        <f>'入力SHEET'!C12</f>
        <v>鉄鋼</v>
      </c>
      <c r="W12" s="146">
        <f>IF('入力SHEET'!$L$6=9,'分析過程'!$C$13*10000,"")</f>
      </c>
      <c r="X12" s="139">
        <f>'分析過程'!Z34*10000</f>
        <v>15.06551087364709</v>
      </c>
      <c r="Y12" s="143">
        <f t="shared" si="6"/>
        <v>28</v>
      </c>
      <c r="Z12" s="139">
        <f>'分析過程'!AN78*10000</f>
        <v>1.0998001545743308</v>
      </c>
      <c r="AA12" s="143">
        <f t="shared" si="7"/>
        <v>31</v>
      </c>
      <c r="AB12" s="140">
        <f>IF('入力SHEET'!$L$6=9,W12+X12+Z12,X12+Z12)</f>
        <v>16.16531102822142</v>
      </c>
      <c r="AC12" s="144">
        <f t="shared" si="8"/>
        <v>31</v>
      </c>
    </row>
    <row r="13" spans="1:29" s="137" customFormat="1" ht="24.75" customHeight="1">
      <c r="A13" s="129">
        <f>'入力SHEET'!B13</f>
        <v>10</v>
      </c>
      <c r="B13" s="130" t="str">
        <f>'入力SHEET'!C13</f>
        <v>非鉄金属</v>
      </c>
      <c r="C13" s="142">
        <f>IF('入力SHEET'!$L$6=10,'入力SHEET'!$L$12*10000,"")</f>
      </c>
      <c r="D13" s="132">
        <f>'分析過程'!L35*10000</f>
        <v>165.6475285798852</v>
      </c>
      <c r="E13" s="143">
        <f t="shared" si="0"/>
        <v>27</v>
      </c>
      <c r="F13" s="134">
        <f>'分析過程'!Z79*10000</f>
        <v>24.655564474530436</v>
      </c>
      <c r="G13" s="143">
        <f t="shared" si="4"/>
        <v>31</v>
      </c>
      <c r="H13" s="135">
        <f>IF('入力SHEET'!$L$6=10,C13+D13+F13,D13+F13)</f>
        <v>190.30309305441563</v>
      </c>
      <c r="I13" s="144">
        <f t="shared" si="5"/>
        <v>29</v>
      </c>
      <c r="K13" s="129">
        <f>'入力SHEET'!B13</f>
        <v>10</v>
      </c>
      <c r="L13" s="130" t="str">
        <f>'入力SHEET'!C13</f>
        <v>非鉄金属</v>
      </c>
      <c r="M13" s="145">
        <f>IF('入力SHEET'!$L$6=10,'分析過程'!$C$9*10000,"")</f>
      </c>
      <c r="N13" s="139">
        <f>'分析過程'!S35*10000</f>
        <v>55.66035290067893</v>
      </c>
      <c r="O13" s="143">
        <f t="shared" si="1"/>
        <v>26</v>
      </c>
      <c r="P13" s="139">
        <f>'分析過程'!AG79*10000</f>
        <v>8.284683939344035</v>
      </c>
      <c r="Q13" s="143">
        <f t="shared" si="2"/>
        <v>30</v>
      </c>
      <c r="R13" s="140">
        <f>IF('入力SHEET'!$L$6=10,M13+N13+P13,N13+P13)</f>
        <v>63.945036840022965</v>
      </c>
      <c r="S13" s="144">
        <f t="shared" si="3"/>
        <v>29</v>
      </c>
      <c r="U13" s="129">
        <f>'入力SHEET'!B13</f>
        <v>10</v>
      </c>
      <c r="V13" s="130" t="str">
        <f>'入力SHEET'!C13</f>
        <v>非鉄金属</v>
      </c>
      <c r="W13" s="146">
        <f>IF('入力SHEET'!$L$6=10,'分析過程'!$C$13*10000,"")</f>
      </c>
      <c r="X13" s="139">
        <f>'分析過程'!Z35*10000</f>
        <v>25.832718928372397</v>
      </c>
      <c r="Y13" s="143">
        <f t="shared" si="6"/>
        <v>26</v>
      </c>
      <c r="Z13" s="139">
        <f>'分析過程'!AN79*10000</f>
        <v>3.8450333219656048</v>
      </c>
      <c r="AA13" s="143">
        <f t="shared" si="7"/>
        <v>30</v>
      </c>
      <c r="AB13" s="140">
        <f>IF('入力SHEET'!$L$6=10,W13+X13+Z13,X13+Z13)</f>
        <v>29.677752250338003</v>
      </c>
      <c r="AC13" s="144">
        <f t="shared" si="8"/>
        <v>29</v>
      </c>
    </row>
    <row r="14" spans="1:29" s="137" customFormat="1" ht="24.75" customHeight="1">
      <c r="A14" s="129">
        <f>'入力SHEET'!B14</f>
        <v>11</v>
      </c>
      <c r="B14" s="130" t="str">
        <f>'入力SHEET'!C14</f>
        <v>金属製品</v>
      </c>
      <c r="C14" s="142">
        <f>IF('入力SHEET'!$L$6=11,'入力SHEET'!$L$12*10000,"")</f>
      </c>
      <c r="D14" s="132">
        <f>'分析過程'!L36*10000</f>
        <v>7262.658318489207</v>
      </c>
      <c r="E14" s="143">
        <f t="shared" si="0"/>
        <v>6</v>
      </c>
      <c r="F14" s="134">
        <f>'分析過程'!Z80*10000</f>
        <v>469.2328447142477</v>
      </c>
      <c r="G14" s="143">
        <f t="shared" si="4"/>
        <v>25</v>
      </c>
      <c r="H14" s="135">
        <f>IF('入力SHEET'!$L$6=11,C14+D14+F14,D14+F14)</f>
        <v>7731.891163203454</v>
      </c>
      <c r="I14" s="144">
        <f t="shared" si="5"/>
        <v>14</v>
      </c>
      <c r="K14" s="129">
        <f>'入力SHEET'!B14</f>
        <v>11</v>
      </c>
      <c r="L14" s="130" t="str">
        <f>'入力SHEET'!C14</f>
        <v>金属製品</v>
      </c>
      <c r="M14" s="145">
        <f>IF('入力SHEET'!$L$6=11,'分析過程'!$C$9*10000,"")</f>
      </c>
      <c r="N14" s="139">
        <f>'分析過程'!S36*10000</f>
        <v>2595.8512524661483</v>
      </c>
      <c r="O14" s="143">
        <f t="shared" si="1"/>
        <v>6</v>
      </c>
      <c r="P14" s="139">
        <f>'分析過程'!AG80*10000</f>
        <v>167.71526543508335</v>
      </c>
      <c r="Q14" s="143">
        <f t="shared" si="2"/>
        <v>24</v>
      </c>
      <c r="R14" s="140">
        <f>IF('入力SHEET'!$L$6=11,M14+N14+P14,N14+P14)</f>
        <v>2763.5665179012317</v>
      </c>
      <c r="S14" s="144">
        <f t="shared" si="3"/>
        <v>15</v>
      </c>
      <c r="U14" s="129">
        <f>'入力SHEET'!B14</f>
        <v>11</v>
      </c>
      <c r="V14" s="130" t="str">
        <f>'入力SHEET'!C14</f>
        <v>金属製品</v>
      </c>
      <c r="W14" s="146">
        <f>IF('入力SHEET'!$L$6=11,'分析過程'!$C$13*10000,"")</f>
      </c>
      <c r="X14" s="139">
        <f>'分析過程'!Z36*10000</f>
        <v>1560.36799466471</v>
      </c>
      <c r="Y14" s="143">
        <f t="shared" si="6"/>
        <v>6</v>
      </c>
      <c r="Z14" s="139">
        <f>'分析過程'!AN80*10000</f>
        <v>100.81376278898065</v>
      </c>
      <c r="AA14" s="143">
        <f t="shared" si="7"/>
        <v>24</v>
      </c>
      <c r="AB14" s="140">
        <f>IF('入力SHEET'!$L$6=11,W14+X14+Z14,X14+Z14)</f>
        <v>1661.1817574536908</v>
      </c>
      <c r="AC14" s="144">
        <f t="shared" si="8"/>
        <v>13</v>
      </c>
    </row>
    <row r="15" spans="1:29" s="137" customFormat="1" ht="24.75" customHeight="1">
      <c r="A15" s="129">
        <f>'入力SHEET'!B15</f>
        <v>12</v>
      </c>
      <c r="B15" s="130" t="str">
        <f>'入力SHEET'!C15</f>
        <v>一般機械</v>
      </c>
      <c r="C15" s="142">
        <f>IF('入力SHEET'!$L$6=12,'入力SHEET'!$L$12*10000,"")</f>
      </c>
      <c r="D15" s="132">
        <f>'分析過程'!L37*10000</f>
        <v>232.38246298216646</v>
      </c>
      <c r="E15" s="143">
        <f t="shared" si="0"/>
        <v>26</v>
      </c>
      <c r="F15" s="134">
        <f>'分析過程'!Z81*10000</f>
        <v>60.7070601043016</v>
      </c>
      <c r="G15" s="143">
        <f t="shared" si="4"/>
        <v>30</v>
      </c>
      <c r="H15" s="135">
        <f>IF('入力SHEET'!$L$6=12,C15+D15+F15,D15+F15)</f>
        <v>293.08952308646803</v>
      </c>
      <c r="I15" s="144">
        <f t="shared" si="5"/>
        <v>28</v>
      </c>
      <c r="K15" s="129">
        <f>'入力SHEET'!B15</f>
        <v>12</v>
      </c>
      <c r="L15" s="130" t="str">
        <f>'入力SHEET'!C15</f>
        <v>一般機械</v>
      </c>
      <c r="M15" s="145">
        <f>IF('入力SHEET'!$L$6=12,'分析過程'!$C$9*10000,"")</f>
      </c>
      <c r="N15" s="139">
        <f>'分析過程'!S37*10000</f>
        <v>83.57595321820067</v>
      </c>
      <c r="O15" s="143">
        <f t="shared" si="1"/>
        <v>25</v>
      </c>
      <c r="P15" s="139">
        <f>'分析過程'!AG81*10000</f>
        <v>21.83318977766824</v>
      </c>
      <c r="Q15" s="143">
        <f t="shared" si="2"/>
        <v>28</v>
      </c>
      <c r="R15" s="140">
        <f>IF('入力SHEET'!$L$6=12,M15+N15+P15,N15+P15)</f>
        <v>105.4091429958689</v>
      </c>
      <c r="S15" s="144">
        <f t="shared" si="3"/>
        <v>27</v>
      </c>
      <c r="U15" s="129">
        <f>'入力SHEET'!B15</f>
        <v>12</v>
      </c>
      <c r="V15" s="130" t="str">
        <f>'入力SHEET'!C15</f>
        <v>一般機械</v>
      </c>
      <c r="W15" s="146">
        <f>IF('入力SHEET'!$L$6=12,'分析過程'!$C$13*10000,"")</f>
      </c>
      <c r="X15" s="139">
        <f>'分析過程'!Z37*10000</f>
        <v>45.319581174580954</v>
      </c>
      <c r="Y15" s="143">
        <f t="shared" si="6"/>
        <v>24</v>
      </c>
      <c r="Z15" s="139">
        <f>'分析過程'!AN81*10000</f>
        <v>11.839183142138378</v>
      </c>
      <c r="AA15" s="143">
        <f t="shared" si="7"/>
        <v>28</v>
      </c>
      <c r="AB15" s="140">
        <f>IF('入力SHEET'!$L$6=12,W15+X15+Z15,X15+Z15)</f>
        <v>57.15876431671933</v>
      </c>
      <c r="AC15" s="144">
        <f t="shared" si="8"/>
        <v>27</v>
      </c>
    </row>
    <row r="16" spans="1:29" s="137" customFormat="1" ht="24.75" customHeight="1">
      <c r="A16" s="129">
        <f>'入力SHEET'!B16</f>
        <v>13</v>
      </c>
      <c r="B16" s="130" t="str">
        <f>'入力SHEET'!C16</f>
        <v>電気機械</v>
      </c>
      <c r="C16" s="142">
        <f>IF('入力SHEET'!$L$6=13,'入力SHEET'!$L$12*10000,"")</f>
      </c>
      <c r="D16" s="132">
        <f>'分析過程'!L38*10000</f>
        <v>3133.8554764892115</v>
      </c>
      <c r="E16" s="143">
        <f t="shared" si="0"/>
        <v>12</v>
      </c>
      <c r="F16" s="134">
        <f>'分析過程'!Z82*10000</f>
        <v>6067.310188595745</v>
      </c>
      <c r="G16" s="143">
        <f t="shared" si="4"/>
        <v>13</v>
      </c>
      <c r="H16" s="135">
        <f>IF('入力SHEET'!$L$6=13,C16+D16+F16,D16+F16)</f>
        <v>9201.165665084956</v>
      </c>
      <c r="I16" s="144">
        <f t="shared" si="5"/>
        <v>12</v>
      </c>
      <c r="K16" s="129">
        <f>'入力SHEET'!B16</f>
        <v>13</v>
      </c>
      <c r="L16" s="130" t="str">
        <f>'入力SHEET'!C16</f>
        <v>電気機械</v>
      </c>
      <c r="M16" s="145">
        <f>IF('入力SHEET'!$L$6=13,'分析過程'!$C$9*10000,"")</f>
      </c>
      <c r="N16" s="139">
        <f>'分析過程'!S38*10000</f>
        <v>1078.5617443863741</v>
      </c>
      <c r="O16" s="143">
        <f t="shared" si="1"/>
        <v>14</v>
      </c>
      <c r="P16" s="139">
        <f>'分析過程'!AG82*10000</f>
        <v>2088.1526636563694</v>
      </c>
      <c r="Q16" s="143">
        <f t="shared" si="2"/>
        <v>13</v>
      </c>
      <c r="R16" s="140">
        <f>IF('入力SHEET'!$L$6=13,M16+N16+P16,N16+P16)</f>
        <v>3166.7144080427433</v>
      </c>
      <c r="S16" s="144">
        <f t="shared" si="3"/>
        <v>13</v>
      </c>
      <c r="U16" s="129">
        <f>'入力SHEET'!B16</f>
        <v>13</v>
      </c>
      <c r="V16" s="130" t="str">
        <f>'入力SHEET'!C16</f>
        <v>電気機械</v>
      </c>
      <c r="W16" s="146">
        <f>IF('入力SHEET'!$L$6=13,'分析過程'!$C$13*10000,"")</f>
      </c>
      <c r="X16" s="139">
        <f>'分析過程'!Z38*10000</f>
        <v>463.82584145933316</v>
      </c>
      <c r="Y16" s="143">
        <f t="shared" si="6"/>
        <v>15</v>
      </c>
      <c r="Z16" s="139">
        <f>'分析過程'!AN82*10000</f>
        <v>897.9913958166525</v>
      </c>
      <c r="AA16" s="143">
        <f t="shared" si="7"/>
        <v>15</v>
      </c>
      <c r="AB16" s="140">
        <f>IF('入力SHEET'!$L$6=13,W16+X16+Z16,X16+Z16)</f>
        <v>1361.8172372759857</v>
      </c>
      <c r="AC16" s="144">
        <f t="shared" si="8"/>
        <v>17</v>
      </c>
    </row>
    <row r="17" spans="1:29" s="137" customFormat="1" ht="24.75" customHeight="1">
      <c r="A17" s="129">
        <f>'入力SHEET'!B17</f>
        <v>14</v>
      </c>
      <c r="B17" s="130" t="str">
        <f>'入力SHEET'!C17</f>
        <v>輸送機械</v>
      </c>
      <c r="C17" s="142">
        <f>IF('入力SHEET'!$L$6=14,'入力SHEET'!$L$12*10000,"")</f>
      </c>
      <c r="D17" s="132">
        <f>'分析過程'!L39*10000</f>
        <v>461.6376753072178</v>
      </c>
      <c r="E17" s="143">
        <f t="shared" si="0"/>
        <v>21</v>
      </c>
      <c r="F17" s="134">
        <f>'分析過程'!Z83*10000</f>
        <v>2790.5530467178605</v>
      </c>
      <c r="G17" s="143">
        <f t="shared" si="4"/>
        <v>17</v>
      </c>
      <c r="H17" s="135">
        <f>IF('入力SHEET'!$L$6=14,C17+D17+F17,D17+F17)</f>
        <v>3252.1907220250782</v>
      </c>
      <c r="I17" s="144">
        <f t="shared" si="5"/>
        <v>21</v>
      </c>
      <c r="K17" s="129">
        <f>'入力SHEET'!B17</f>
        <v>14</v>
      </c>
      <c r="L17" s="130" t="str">
        <f>'入力SHEET'!C17</f>
        <v>輸送機械</v>
      </c>
      <c r="M17" s="145">
        <f>IF('入力SHEET'!$L$6=14,'分析過程'!$C$9*10000,"")</f>
      </c>
      <c r="N17" s="139">
        <f>'分析過程'!S39*10000</f>
        <v>133.48718071901996</v>
      </c>
      <c r="O17" s="143">
        <f t="shared" si="1"/>
        <v>24</v>
      </c>
      <c r="P17" s="139">
        <f>'分析過程'!AG83*10000</f>
        <v>806.9165035226808</v>
      </c>
      <c r="Q17" s="143">
        <f t="shared" si="2"/>
        <v>19</v>
      </c>
      <c r="R17" s="140">
        <f>IF('入力SHEET'!$L$6=14,M17+N17+P17,N17+P17)</f>
        <v>940.4036842417008</v>
      </c>
      <c r="S17" s="144">
        <f t="shared" si="3"/>
        <v>24</v>
      </c>
      <c r="U17" s="129">
        <f>'入力SHEET'!B17</f>
        <v>14</v>
      </c>
      <c r="V17" s="130" t="str">
        <f>'入力SHEET'!C17</f>
        <v>輸送機械</v>
      </c>
      <c r="W17" s="146">
        <f>IF('入力SHEET'!$L$6=14,'分析過程'!$C$13*10000,"")</f>
      </c>
      <c r="X17" s="139">
        <f>'分析過程'!Z39*10000</f>
        <v>80.67103376011542</v>
      </c>
      <c r="Y17" s="143">
        <f t="shared" si="6"/>
        <v>21</v>
      </c>
      <c r="Z17" s="139">
        <f>'分析過程'!AN83*10000</f>
        <v>487.6482381802033</v>
      </c>
      <c r="AA17" s="143">
        <f t="shared" si="7"/>
        <v>18</v>
      </c>
      <c r="AB17" s="140">
        <f>IF('入力SHEET'!$L$6=14,W17+X17+Z17,X17+Z17)</f>
        <v>568.3192719403187</v>
      </c>
      <c r="AC17" s="144">
        <f t="shared" si="8"/>
        <v>22</v>
      </c>
    </row>
    <row r="18" spans="1:29" s="137" customFormat="1" ht="24.75" customHeight="1">
      <c r="A18" s="129">
        <f>'入力SHEET'!B18</f>
        <v>15</v>
      </c>
      <c r="B18" s="130" t="str">
        <f>'入力SHEET'!C18</f>
        <v>精密機械</v>
      </c>
      <c r="C18" s="142">
        <f>IF('入力SHEET'!$L$6=15,'入力SHEET'!$L$12*10000,"")</f>
      </c>
      <c r="D18" s="132">
        <f>'分析過程'!L40*10000</f>
        <v>6.97850429884989</v>
      </c>
      <c r="E18" s="143">
        <f t="shared" si="0"/>
        <v>32</v>
      </c>
      <c r="F18" s="134">
        <f>'分析過程'!Z84*10000</f>
        <v>150.37724593589502</v>
      </c>
      <c r="G18" s="143">
        <f t="shared" si="4"/>
        <v>27</v>
      </c>
      <c r="H18" s="135">
        <f>IF('入力SHEET'!$L$6=15,C18+D18+F18,D18+F18)</f>
        <v>157.3557502347449</v>
      </c>
      <c r="I18" s="144">
        <f t="shared" si="5"/>
        <v>30</v>
      </c>
      <c r="K18" s="129">
        <f>'入力SHEET'!B18</f>
        <v>15</v>
      </c>
      <c r="L18" s="130" t="str">
        <f>'入力SHEET'!C18</f>
        <v>精密機械</v>
      </c>
      <c r="M18" s="145">
        <f>IF('入力SHEET'!$L$6=15,'分析過程'!$C$9*10000,"")</f>
      </c>
      <c r="N18" s="139">
        <f>'分析過程'!S40*10000</f>
        <v>2.8608231702210296</v>
      </c>
      <c r="O18" s="143">
        <f t="shared" si="1"/>
        <v>31</v>
      </c>
      <c r="P18" s="139">
        <f>'分析過程'!AG84*10000</f>
        <v>61.64683591558943</v>
      </c>
      <c r="Q18" s="143">
        <f t="shared" si="2"/>
        <v>26</v>
      </c>
      <c r="R18" s="140">
        <f>IF('入力SHEET'!$L$6=15,M18+N18+P18,N18+P18)</f>
        <v>64.50765908581046</v>
      </c>
      <c r="S18" s="144">
        <f t="shared" si="3"/>
        <v>28</v>
      </c>
      <c r="U18" s="129">
        <f>'入力SHEET'!B18</f>
        <v>15</v>
      </c>
      <c r="V18" s="130" t="str">
        <f>'入力SHEET'!C18</f>
        <v>精密機械</v>
      </c>
      <c r="W18" s="146">
        <f>IF('入力SHEET'!$L$6=15,'分析過程'!$C$13*10000,"")</f>
      </c>
      <c r="X18" s="139">
        <f>'分析過程'!Z40*10000</f>
        <v>1.4874996255066626</v>
      </c>
      <c r="Y18" s="143">
        <f t="shared" si="6"/>
        <v>31</v>
      </c>
      <c r="Z18" s="139">
        <f>'分析過程'!AN84*10000</f>
        <v>32.05358733550287</v>
      </c>
      <c r="AA18" s="143">
        <f t="shared" si="7"/>
        <v>26</v>
      </c>
      <c r="AB18" s="140">
        <f>IF('入力SHEET'!$L$6=15,W18+X18+Z18,X18+Z18)</f>
        <v>33.54108696100953</v>
      </c>
      <c r="AC18" s="144">
        <f t="shared" si="8"/>
        <v>28</v>
      </c>
    </row>
    <row r="19" spans="1:29" s="137" customFormat="1" ht="24.75" customHeight="1">
      <c r="A19" s="129">
        <f>'入力SHEET'!B19</f>
        <v>16</v>
      </c>
      <c r="B19" s="130" t="str">
        <f>'入力SHEET'!C19</f>
        <v>その他の製造工業</v>
      </c>
      <c r="C19" s="142">
        <f>IF('入力SHEET'!$L$6=16,'入力SHEET'!$L$12*10000,"")</f>
      </c>
      <c r="D19" s="132">
        <f>'分析過程'!L41*10000</f>
        <v>2908.8854805529418</v>
      </c>
      <c r="E19" s="143">
        <f t="shared" si="0"/>
        <v>13</v>
      </c>
      <c r="F19" s="134">
        <f>'分析過程'!Z85*10000</f>
        <v>3376.1693843708513</v>
      </c>
      <c r="G19" s="143">
        <f t="shared" si="4"/>
        <v>15</v>
      </c>
      <c r="H19" s="135">
        <f>IF('入力SHEET'!$L$6=16,C19+D19+F19,D19+F19)</f>
        <v>6285.0548649237935</v>
      </c>
      <c r="I19" s="144">
        <f t="shared" si="5"/>
        <v>16</v>
      </c>
      <c r="K19" s="129">
        <f>'入力SHEET'!B19</f>
        <v>16</v>
      </c>
      <c r="L19" s="130" t="str">
        <f>'入力SHEET'!C19</f>
        <v>その他の製造工業</v>
      </c>
      <c r="M19" s="145">
        <f>IF('入力SHEET'!$L$6=16,'分析過程'!$C$9*10000,"")</f>
      </c>
      <c r="N19" s="139">
        <f>'分析過程'!S41*10000</f>
        <v>1198.3292546050939</v>
      </c>
      <c r="O19" s="143">
        <f t="shared" si="1"/>
        <v>12</v>
      </c>
      <c r="P19" s="139">
        <f>'分析過程'!AG85*10000</f>
        <v>1390.82908861184</v>
      </c>
      <c r="Q19" s="143">
        <f t="shared" si="2"/>
        <v>16</v>
      </c>
      <c r="R19" s="140">
        <f>IF('入力SHEET'!$L$6=16,M19+N19+P19,N19+P19)</f>
        <v>2589.1583432169336</v>
      </c>
      <c r="S19" s="144">
        <f t="shared" si="3"/>
        <v>17</v>
      </c>
      <c r="U19" s="129">
        <f>'入力SHEET'!B19</f>
        <v>16</v>
      </c>
      <c r="V19" s="130" t="str">
        <f>'入力SHEET'!C19</f>
        <v>その他の製造工業</v>
      </c>
      <c r="W19" s="146">
        <f>IF('入力SHEET'!$L$6=16,'分析過程'!$C$13*10000,"")</f>
      </c>
      <c r="X19" s="139">
        <f>'分析過程'!Z41*10000</f>
        <v>701.2137393210506</v>
      </c>
      <c r="Y19" s="143">
        <f t="shared" si="6"/>
        <v>9</v>
      </c>
      <c r="Z19" s="139">
        <f>'分析過程'!AN85*10000</f>
        <v>813.8568446310642</v>
      </c>
      <c r="AA19" s="143">
        <f t="shared" si="7"/>
        <v>17</v>
      </c>
      <c r="AB19" s="140">
        <f>IF('入力SHEET'!$L$6=16,W19+X19+Z19,X19+Z19)</f>
        <v>1515.0705839521147</v>
      </c>
      <c r="AC19" s="144">
        <f t="shared" si="8"/>
        <v>15</v>
      </c>
    </row>
    <row r="20" spans="1:29" s="137" customFormat="1" ht="24.75" customHeight="1">
      <c r="A20" s="129">
        <f>'入力SHEET'!B20</f>
        <v>17</v>
      </c>
      <c r="B20" s="130" t="str">
        <f>'入力SHEET'!C20</f>
        <v>建設</v>
      </c>
      <c r="C20" s="142">
        <f>IF('入力SHEET'!$L$6=17,'入力SHEET'!$L$12*10000,"")</f>
        <v>1000000</v>
      </c>
      <c r="D20" s="132">
        <f>'分析過程'!L42*10000</f>
        <v>274970.17026695056</v>
      </c>
      <c r="E20" s="143">
        <f t="shared" si="0"/>
        <v>1</v>
      </c>
      <c r="F20" s="134">
        <f>'分析過程'!Z86*10000</f>
        <v>4028.352690824123</v>
      </c>
      <c r="G20" s="143">
        <f t="shared" si="4"/>
        <v>14</v>
      </c>
      <c r="H20" s="135">
        <f>IF('入力SHEET'!$L$6=17,C20+D20+F20,D20+F20)</f>
        <v>1278998.5229577746</v>
      </c>
      <c r="I20" s="144">
        <f t="shared" si="5"/>
        <v>1</v>
      </c>
      <c r="K20" s="129">
        <f>'入力SHEET'!B20</f>
        <v>17</v>
      </c>
      <c r="L20" s="130" t="str">
        <f>'入力SHEET'!C20</f>
        <v>建設</v>
      </c>
      <c r="M20" s="145">
        <f>IF('入力SHEET'!$L$6=17,'分析過程'!$C$9*10000,"")</f>
        <v>456243.0206471015</v>
      </c>
      <c r="N20" s="139">
        <f>'分析過程'!S42*10000</f>
        <v>125453.22107044134</v>
      </c>
      <c r="O20" s="143">
        <f t="shared" si="1"/>
        <v>1</v>
      </c>
      <c r="P20" s="139">
        <f>'分析過程'!AG86*10000</f>
        <v>1837.9077998934772</v>
      </c>
      <c r="Q20" s="143">
        <f t="shared" si="2"/>
        <v>15</v>
      </c>
      <c r="R20" s="140">
        <f>IF('入力SHEET'!$L$6=17,M20+N20+P20,N20+P20)</f>
        <v>583534.1495174364</v>
      </c>
      <c r="S20" s="144">
        <f t="shared" si="3"/>
        <v>1</v>
      </c>
      <c r="U20" s="129">
        <f>'入力SHEET'!B20</f>
        <v>17</v>
      </c>
      <c r="V20" s="130" t="str">
        <f>'入力SHEET'!C20</f>
        <v>建設</v>
      </c>
      <c r="W20" s="146">
        <f>IF('入力SHEET'!$L$6=17,'分析過程'!$C$13*10000,"")</f>
        <v>269475.65404485725</v>
      </c>
      <c r="X20" s="139">
        <f>'分析過程'!Z42*10000</f>
        <v>74097.76647551225</v>
      </c>
      <c r="Y20" s="143">
        <f t="shared" si="6"/>
        <v>1</v>
      </c>
      <c r="Z20" s="139">
        <f>'分析過程'!AN86*10000</f>
        <v>1085.5429760831912</v>
      </c>
      <c r="AA20" s="143">
        <f t="shared" si="7"/>
        <v>13</v>
      </c>
      <c r="AB20" s="140">
        <f>IF('入力SHEET'!$L$6=17,W20+X20+Z20,X20+Z20)</f>
        <v>344658.96349645266</v>
      </c>
      <c r="AC20" s="144">
        <f t="shared" si="8"/>
        <v>1</v>
      </c>
    </row>
    <row r="21" spans="1:29" s="137" customFormat="1" ht="24.75" customHeight="1">
      <c r="A21" s="129">
        <f>'入力SHEET'!B21</f>
        <v>18</v>
      </c>
      <c r="B21" s="130" t="str">
        <f>'入力SHEET'!C21</f>
        <v>電力･ｶﾞｽ･熱供給</v>
      </c>
      <c r="C21" s="142">
        <f>IF('入力SHEET'!$L$6=18,'入力SHEET'!$L$12*10000,"")</f>
      </c>
      <c r="D21" s="132">
        <f>'分析過程'!L43*10000</f>
        <v>3180.7065838876883</v>
      </c>
      <c r="E21" s="143">
        <f t="shared" si="0"/>
        <v>11</v>
      </c>
      <c r="F21" s="134">
        <f>'分析過程'!Z87*10000</f>
        <v>12710.418868295283</v>
      </c>
      <c r="G21" s="143">
        <f t="shared" si="4"/>
        <v>8</v>
      </c>
      <c r="H21" s="135">
        <f>IF('入力SHEET'!$L$6=18,C21+D21+F21,D21+F21)</f>
        <v>15891.12545218297</v>
      </c>
      <c r="I21" s="144">
        <f t="shared" si="5"/>
        <v>9</v>
      </c>
      <c r="K21" s="129">
        <f>'入力SHEET'!B21</f>
        <v>18</v>
      </c>
      <c r="L21" s="130" t="str">
        <f>'入力SHEET'!C21</f>
        <v>電力･ｶﾞｽ･熱供給</v>
      </c>
      <c r="M21" s="145">
        <f>IF('入力SHEET'!$L$6=18,'分析過程'!$C$9*10000,"")</f>
      </c>
      <c r="N21" s="139">
        <f>'分析過程'!S43*10000</f>
        <v>1986.8606430822074</v>
      </c>
      <c r="O21" s="143">
        <f t="shared" si="1"/>
        <v>8</v>
      </c>
      <c r="P21" s="139">
        <f>'分析過程'!AG87*10000</f>
        <v>7939.692122005902</v>
      </c>
      <c r="Q21" s="143">
        <f t="shared" si="2"/>
        <v>8</v>
      </c>
      <c r="R21" s="140">
        <f>IF('入力SHEET'!$L$6=18,M21+N21+P21,N21+P21)</f>
        <v>9926.552765088109</v>
      </c>
      <c r="S21" s="144">
        <f t="shared" si="3"/>
        <v>9</v>
      </c>
      <c r="U21" s="129">
        <f>'入力SHEET'!B21</f>
        <v>18</v>
      </c>
      <c r="V21" s="130" t="str">
        <f>'入力SHEET'!C21</f>
        <v>電力･ｶﾞｽ･熱供給</v>
      </c>
      <c r="W21" s="146">
        <f>IF('入力SHEET'!$L$6=18,'分析過程'!$C$13*10000,"")</f>
      </c>
      <c r="X21" s="139">
        <f>'分析過程'!Z43*10000</f>
        <v>413.18122754539917</v>
      </c>
      <c r="Y21" s="143">
        <f t="shared" si="6"/>
        <v>16</v>
      </c>
      <c r="Z21" s="139">
        <f>'分析過程'!AN87*10000</f>
        <v>1651.1131511538024</v>
      </c>
      <c r="AA21" s="143">
        <f t="shared" si="7"/>
        <v>11</v>
      </c>
      <c r="AB21" s="140">
        <f>IF('入力SHEET'!$L$6=18,W21+X21+Z21,X21+Z21)</f>
        <v>2064.2943786992014</v>
      </c>
      <c r="AC21" s="144">
        <f t="shared" si="8"/>
        <v>11</v>
      </c>
    </row>
    <row r="22" spans="1:29" s="137" customFormat="1" ht="24.75" customHeight="1">
      <c r="A22" s="129">
        <f>'入力SHEET'!B22</f>
        <v>19</v>
      </c>
      <c r="B22" s="130" t="str">
        <f>'入力SHEET'!C22</f>
        <v>水道･廃棄物処理</v>
      </c>
      <c r="C22" s="142">
        <f>IF('入力SHEET'!$L$6=19,'入力SHEET'!$L$12*10000,"")</f>
      </c>
      <c r="D22" s="132">
        <f>'分析過程'!L44*10000</f>
        <v>837.325252490528</v>
      </c>
      <c r="E22" s="143">
        <f t="shared" si="0"/>
        <v>19</v>
      </c>
      <c r="F22" s="134">
        <f>'分析過程'!Z88*10000</f>
        <v>3018.276752343442</v>
      </c>
      <c r="G22" s="143">
        <f t="shared" si="4"/>
        <v>16</v>
      </c>
      <c r="H22" s="135">
        <f>IF('入力SHEET'!$L$6=19,C22+D22+F22,D22+F22)</f>
        <v>3855.6020048339697</v>
      </c>
      <c r="I22" s="144">
        <f t="shared" si="5"/>
        <v>20</v>
      </c>
      <c r="K22" s="129">
        <f>'入力SHEET'!B22</f>
        <v>19</v>
      </c>
      <c r="L22" s="130" t="str">
        <f>'入力SHEET'!C22</f>
        <v>水道･廃棄物処理</v>
      </c>
      <c r="M22" s="145">
        <f>IF('入力SHEET'!$L$6=19,'分析過程'!$C$9*10000,"")</f>
      </c>
      <c r="N22" s="139">
        <f>'分析過程'!S44*10000</f>
        <v>566.7430885600453</v>
      </c>
      <c r="O22" s="143">
        <f t="shared" si="1"/>
        <v>18</v>
      </c>
      <c r="P22" s="139">
        <f>'分析過程'!AG88*10000</f>
        <v>2042.9187865338574</v>
      </c>
      <c r="Q22" s="143">
        <f t="shared" si="2"/>
        <v>14</v>
      </c>
      <c r="R22" s="140">
        <f>IF('入力SHEET'!$L$6=19,M22+N22+P22,N22+P22)</f>
        <v>2609.661875093903</v>
      </c>
      <c r="S22" s="144">
        <f t="shared" si="3"/>
        <v>16</v>
      </c>
      <c r="U22" s="129">
        <f>'入力SHEET'!B22</f>
        <v>19</v>
      </c>
      <c r="V22" s="130" t="str">
        <f>'入力SHEET'!C22</f>
        <v>水道･廃棄物処理</v>
      </c>
      <c r="W22" s="146">
        <f>IF('入力SHEET'!$L$6=19,'分析過程'!$C$13*10000,"")</f>
      </c>
      <c r="X22" s="139">
        <f>'分析過程'!Z44*10000</f>
        <v>340.380899712746</v>
      </c>
      <c r="Y22" s="143">
        <f t="shared" si="6"/>
        <v>18</v>
      </c>
      <c r="Z22" s="139">
        <f>'分析過程'!AN88*10000</f>
        <v>1226.9590024771735</v>
      </c>
      <c r="AA22" s="143">
        <f t="shared" si="7"/>
        <v>12</v>
      </c>
      <c r="AB22" s="140">
        <f>IF('入力SHEET'!$L$6=19,W22+X22+Z22,X22+Z22)</f>
        <v>1567.3399021899195</v>
      </c>
      <c r="AC22" s="144">
        <f t="shared" si="8"/>
        <v>14</v>
      </c>
    </row>
    <row r="23" spans="1:29" s="137" customFormat="1" ht="24.75" customHeight="1">
      <c r="A23" s="129">
        <f>'入力SHEET'!B23</f>
        <v>20</v>
      </c>
      <c r="B23" s="130" t="str">
        <f>'入力SHEET'!C23</f>
        <v>商業</v>
      </c>
      <c r="C23" s="142">
        <f>IF('入力SHEET'!$L$6=20,'入力SHEET'!$L$12*10000,"")</f>
      </c>
      <c r="D23" s="132">
        <f>'分析過程'!L45*10000</f>
        <v>17212.220937607988</v>
      </c>
      <c r="E23" s="143">
        <f t="shared" si="0"/>
        <v>3</v>
      </c>
      <c r="F23" s="134">
        <f>'分析過程'!Z89*10000</f>
        <v>44817.290349465235</v>
      </c>
      <c r="G23" s="143">
        <f t="shared" si="4"/>
        <v>2</v>
      </c>
      <c r="H23" s="135">
        <f>IF('入力SHEET'!$L$6=20,C23+D23+F23,D23+F23)</f>
        <v>62029.51128707323</v>
      </c>
      <c r="I23" s="144">
        <f t="shared" si="5"/>
        <v>2</v>
      </c>
      <c r="K23" s="129">
        <f>'入力SHEET'!B23</f>
        <v>20</v>
      </c>
      <c r="L23" s="130" t="str">
        <f>'入力SHEET'!C23</f>
        <v>商業</v>
      </c>
      <c r="M23" s="145">
        <f>IF('入力SHEET'!$L$6=20,'分析過程'!$C$9*10000,"")</f>
      </c>
      <c r="N23" s="139">
        <f>'分析過程'!S45*10000</f>
        <v>11618.560713145314</v>
      </c>
      <c r="O23" s="143">
        <f t="shared" si="1"/>
        <v>3</v>
      </c>
      <c r="P23" s="139">
        <f>'分析過程'!AG89*10000</f>
        <v>30252.48228055151</v>
      </c>
      <c r="Q23" s="143">
        <f t="shared" si="2"/>
        <v>2</v>
      </c>
      <c r="R23" s="140">
        <f>IF('入力SHEET'!$L$6=20,M23+N23+P23,N23+P23)</f>
        <v>41871.04299369683</v>
      </c>
      <c r="S23" s="144">
        <f t="shared" si="3"/>
        <v>3</v>
      </c>
      <c r="U23" s="129">
        <f>'入力SHEET'!B23</f>
        <v>20</v>
      </c>
      <c r="V23" s="130" t="str">
        <f>'入力SHEET'!C23</f>
        <v>商業</v>
      </c>
      <c r="W23" s="146">
        <f>IF('入力SHEET'!$L$6=20,'分析過程'!$C$13*10000,"")</f>
      </c>
      <c r="X23" s="139">
        <f>'分析過程'!Z45*10000</f>
        <v>6881.186356146835</v>
      </c>
      <c r="Y23" s="143">
        <f t="shared" si="6"/>
        <v>3</v>
      </c>
      <c r="Z23" s="139">
        <f>'分析過程'!AN89*10000</f>
        <v>17917.276799438398</v>
      </c>
      <c r="AA23" s="143">
        <f t="shared" si="7"/>
        <v>1</v>
      </c>
      <c r="AB23" s="140">
        <f>IF('入力SHEET'!$L$6=20,W23+X23+Z23,X23+Z23)</f>
        <v>24798.463155585232</v>
      </c>
      <c r="AC23" s="144">
        <f t="shared" si="8"/>
        <v>2</v>
      </c>
    </row>
    <row r="24" spans="1:29" s="137" customFormat="1" ht="24.75" customHeight="1">
      <c r="A24" s="129">
        <f>'入力SHEET'!B24</f>
        <v>21</v>
      </c>
      <c r="B24" s="130" t="str">
        <f>'入力SHEET'!C24</f>
        <v>金融･保険</v>
      </c>
      <c r="C24" s="142">
        <f>IF('入力SHEET'!$L$6=21,'入力SHEET'!$L$12*10000,"")</f>
      </c>
      <c r="D24" s="132">
        <f>'分析過程'!L46*10000</f>
        <v>8096.617809477327</v>
      </c>
      <c r="E24" s="143">
        <f t="shared" si="0"/>
        <v>4</v>
      </c>
      <c r="F24" s="134">
        <f>'分析過程'!Z90*10000</f>
        <v>21319.842939378963</v>
      </c>
      <c r="G24" s="143">
        <f t="shared" si="4"/>
        <v>4</v>
      </c>
      <c r="H24" s="135">
        <f>IF('入力SHEET'!$L$6=21,C24+D24+F24,D24+F24)</f>
        <v>29416.46074885629</v>
      </c>
      <c r="I24" s="144">
        <f t="shared" si="5"/>
        <v>5</v>
      </c>
      <c r="K24" s="129">
        <f>'入力SHEET'!B24</f>
        <v>21</v>
      </c>
      <c r="L24" s="130" t="str">
        <f>'入力SHEET'!C24</f>
        <v>金融･保険</v>
      </c>
      <c r="M24" s="145">
        <f>IF('入力SHEET'!$L$6=21,'分析過程'!$C$9*10000,"")</f>
      </c>
      <c r="N24" s="139">
        <f>'分析過程'!S46*10000</f>
        <v>5397.159801453279</v>
      </c>
      <c r="O24" s="143">
        <f t="shared" si="1"/>
        <v>4</v>
      </c>
      <c r="P24" s="139">
        <f>'分析過程'!AG90*10000</f>
        <v>14211.687150531528</v>
      </c>
      <c r="Q24" s="143">
        <f t="shared" si="2"/>
        <v>3</v>
      </c>
      <c r="R24" s="140">
        <f>IF('入力SHEET'!$L$6=21,M24+N24+P24,N24+P24)</f>
        <v>19608.846951984808</v>
      </c>
      <c r="S24" s="144">
        <f t="shared" si="3"/>
        <v>5</v>
      </c>
      <c r="U24" s="129">
        <f>'入力SHEET'!B24</f>
        <v>21</v>
      </c>
      <c r="V24" s="130" t="str">
        <f>'入力SHEET'!C24</f>
        <v>金融･保険</v>
      </c>
      <c r="W24" s="146">
        <f>IF('入力SHEET'!$L$6=21,'分析過程'!$C$13*10000,"")</f>
      </c>
      <c r="X24" s="139">
        <f>'分析過程'!Z46*10000</f>
        <v>3525.292429301498</v>
      </c>
      <c r="Y24" s="143">
        <f t="shared" si="6"/>
        <v>4</v>
      </c>
      <c r="Z24" s="139">
        <f>'分析過程'!AN90*10000</f>
        <v>9282.725537583636</v>
      </c>
      <c r="AA24" s="143">
        <f t="shared" si="7"/>
        <v>2</v>
      </c>
      <c r="AB24" s="140">
        <f>IF('入力SHEET'!$L$6=21,W24+X24+Z24,X24+Z24)</f>
        <v>12808.017966885134</v>
      </c>
      <c r="AC24" s="144">
        <f t="shared" si="8"/>
        <v>4</v>
      </c>
    </row>
    <row r="25" spans="1:29" s="137" customFormat="1" ht="24.75" customHeight="1">
      <c r="A25" s="129">
        <f>'入力SHEET'!B25</f>
        <v>22</v>
      </c>
      <c r="B25" s="130" t="str">
        <f>'入力SHEET'!C25</f>
        <v>不動産</v>
      </c>
      <c r="C25" s="142">
        <f>IF('入力SHEET'!$L$6=22,'入力SHEET'!$L$12*10000,"")</f>
      </c>
      <c r="D25" s="132">
        <f>'分析過程'!L47*10000</f>
        <v>1463.783882342292</v>
      </c>
      <c r="E25" s="143">
        <f t="shared" si="0"/>
        <v>15</v>
      </c>
      <c r="F25" s="134">
        <f>'分析過程'!Z91*10000</f>
        <v>54969.07410460213</v>
      </c>
      <c r="G25" s="143">
        <f t="shared" si="4"/>
        <v>1</v>
      </c>
      <c r="H25" s="135">
        <f>IF('入力SHEET'!$L$6=22,C25+D25+F25,D25+F25)</f>
        <v>56432.85798694442</v>
      </c>
      <c r="I25" s="144">
        <f t="shared" si="5"/>
        <v>3</v>
      </c>
      <c r="K25" s="129">
        <f>'入力SHEET'!B25</f>
        <v>22</v>
      </c>
      <c r="L25" s="130" t="str">
        <f>'入力SHEET'!C25</f>
        <v>不動産</v>
      </c>
      <c r="M25" s="145">
        <f>IF('入力SHEET'!$L$6=22,'分析過程'!$C$9*10000,"")</f>
      </c>
      <c r="N25" s="139">
        <f>'分析過程'!S47*10000</f>
        <v>1234.0509304478105</v>
      </c>
      <c r="O25" s="143">
        <f t="shared" si="1"/>
        <v>11</v>
      </c>
      <c r="P25" s="139">
        <f>'分析過程'!AG91*10000</f>
        <v>46341.97565838235</v>
      </c>
      <c r="Q25" s="143">
        <f t="shared" si="2"/>
        <v>1</v>
      </c>
      <c r="R25" s="140">
        <f>IF('入力SHEET'!$L$6=22,M25+N25+P25,N25+P25)</f>
        <v>47576.02658883016</v>
      </c>
      <c r="S25" s="144">
        <f t="shared" si="3"/>
        <v>2</v>
      </c>
      <c r="U25" s="129">
        <f>'入力SHEET'!B25</f>
        <v>22</v>
      </c>
      <c r="V25" s="130" t="str">
        <f>'入力SHEET'!C25</f>
        <v>不動産</v>
      </c>
      <c r="W25" s="146">
        <f>IF('入力SHEET'!$L$6=22,'分析過程'!$C$13*10000,"")</f>
      </c>
      <c r="X25" s="139">
        <f>'分析過程'!Z47*10000</f>
        <v>47.4291801356914</v>
      </c>
      <c r="Y25" s="143">
        <f t="shared" si="6"/>
        <v>23</v>
      </c>
      <c r="Z25" s="139">
        <f>'分析過程'!AN91*10000</f>
        <v>1781.0949751868418</v>
      </c>
      <c r="AA25" s="143">
        <f t="shared" si="7"/>
        <v>10</v>
      </c>
      <c r="AB25" s="140">
        <f>IF('入力SHEET'!$L$6=22,W25+X25+Z25,X25+Z25)</f>
        <v>1828.5241553225333</v>
      </c>
      <c r="AC25" s="144">
        <f t="shared" si="8"/>
        <v>12</v>
      </c>
    </row>
    <row r="26" spans="1:29" s="137" customFormat="1" ht="24.75" customHeight="1">
      <c r="A26" s="129">
        <f>'入力SHEET'!B26</f>
        <v>23</v>
      </c>
      <c r="B26" s="130" t="str">
        <f>'入力SHEET'!C26</f>
        <v>運輸</v>
      </c>
      <c r="C26" s="142">
        <f>IF('入力SHEET'!$L$6=23,'入力SHEET'!$L$12*10000,"")</f>
      </c>
      <c r="D26" s="132">
        <f>'分析過程'!L48*10000</f>
        <v>7292.949485469403</v>
      </c>
      <c r="E26" s="143">
        <f t="shared" si="0"/>
        <v>5</v>
      </c>
      <c r="F26" s="134">
        <f>'分析過程'!Z92*10000</f>
        <v>14643.10243206909</v>
      </c>
      <c r="G26" s="143">
        <f t="shared" si="4"/>
        <v>6</v>
      </c>
      <c r="H26" s="135">
        <f>IF('入力SHEET'!$L$6=23,C26+D26+F26,D26+F26)</f>
        <v>21936.051917538494</v>
      </c>
      <c r="I26" s="144">
        <f t="shared" si="5"/>
        <v>7</v>
      </c>
      <c r="K26" s="129">
        <f>'入力SHEET'!B26</f>
        <v>23</v>
      </c>
      <c r="L26" s="130" t="str">
        <f>'入力SHEET'!C26</f>
        <v>運輸</v>
      </c>
      <c r="M26" s="145">
        <f>IF('入力SHEET'!$L$6=23,'分析過程'!$C$9*10000,"")</f>
      </c>
      <c r="N26" s="139">
        <f>'分析過程'!S48*10000</f>
        <v>4859.725014827347</v>
      </c>
      <c r="O26" s="143">
        <f t="shared" si="1"/>
        <v>5</v>
      </c>
      <c r="P26" s="139">
        <f>'分析過程'!AG92*10000</f>
        <v>9757.568090330065</v>
      </c>
      <c r="Q26" s="143">
        <f t="shared" si="2"/>
        <v>7</v>
      </c>
      <c r="R26" s="140">
        <f>IF('入力SHEET'!$L$6=23,M26+N26+P26,N26+P26)</f>
        <v>14617.293105157412</v>
      </c>
      <c r="S26" s="144">
        <f t="shared" si="3"/>
        <v>6</v>
      </c>
      <c r="U26" s="129">
        <f>'入力SHEET'!B26</f>
        <v>23</v>
      </c>
      <c r="V26" s="130" t="str">
        <f>'入力SHEET'!C26</f>
        <v>運輸</v>
      </c>
      <c r="W26" s="146">
        <f>IF('入力SHEET'!$L$6=23,'分析過程'!$C$13*10000,"")</f>
      </c>
      <c r="X26" s="139">
        <f>'分析過程'!Z48*10000</f>
        <v>3334.2721355286058</v>
      </c>
      <c r="Y26" s="143">
        <f t="shared" si="6"/>
        <v>5</v>
      </c>
      <c r="Z26" s="139">
        <f>'分析過程'!AN92*10000</f>
        <v>6694.697188595243</v>
      </c>
      <c r="AA26" s="143">
        <f t="shared" si="7"/>
        <v>5</v>
      </c>
      <c r="AB26" s="140">
        <f>IF('入力SHEET'!$L$6=23,W26+X26+Z26,X26+Z26)</f>
        <v>10028.96932412385</v>
      </c>
      <c r="AC26" s="144">
        <f t="shared" si="8"/>
        <v>5</v>
      </c>
    </row>
    <row r="27" spans="1:29" s="137" customFormat="1" ht="24.75" customHeight="1">
      <c r="A27" s="129">
        <f>'入力SHEET'!B27</f>
        <v>24</v>
      </c>
      <c r="B27" s="130" t="str">
        <f>'入力SHEET'!C27</f>
        <v>通信･放送</v>
      </c>
      <c r="C27" s="142">
        <f>IF('入力SHEET'!$L$6=24,'入力SHEET'!$L$12*10000,"")</f>
      </c>
      <c r="D27" s="132">
        <f>'分析過程'!L49*10000</f>
        <v>3367.8398858319324</v>
      </c>
      <c r="E27" s="143">
        <f t="shared" si="0"/>
        <v>9</v>
      </c>
      <c r="F27" s="134">
        <f>'分析過程'!Z93*10000</f>
        <v>14336.138789893694</v>
      </c>
      <c r="G27" s="143">
        <f t="shared" si="4"/>
        <v>7</v>
      </c>
      <c r="H27" s="135">
        <f>IF('入力SHEET'!$L$6=24,C27+D27+F27,D27+F27)</f>
        <v>17703.978675725626</v>
      </c>
      <c r="I27" s="144">
        <f t="shared" si="5"/>
        <v>8</v>
      </c>
      <c r="K27" s="129">
        <f>'入力SHEET'!B27</f>
        <v>24</v>
      </c>
      <c r="L27" s="130" t="str">
        <f>'入力SHEET'!C27</f>
        <v>通信･放送</v>
      </c>
      <c r="M27" s="145">
        <f>IF('入力SHEET'!$L$6=24,'分析過程'!$C$9*10000,"")</f>
      </c>
      <c r="N27" s="139">
        <f>'分析過程'!S49*10000</f>
        <v>2533.5242096652983</v>
      </c>
      <c r="O27" s="143">
        <f t="shared" si="1"/>
        <v>7</v>
      </c>
      <c r="P27" s="139">
        <f>'分析過程'!AG93*10000</f>
        <v>10784.644142411578</v>
      </c>
      <c r="Q27" s="143">
        <f t="shared" si="2"/>
        <v>6</v>
      </c>
      <c r="R27" s="140">
        <f>IF('入力SHEET'!$L$6=24,M27+N27+P27,N27+P27)</f>
        <v>13318.168352076877</v>
      </c>
      <c r="S27" s="144">
        <f t="shared" si="3"/>
        <v>8</v>
      </c>
      <c r="U27" s="129">
        <f>'入力SHEET'!B27</f>
        <v>24</v>
      </c>
      <c r="V27" s="130" t="str">
        <f>'入力SHEET'!C27</f>
        <v>通信･放送</v>
      </c>
      <c r="W27" s="146">
        <f>IF('入力SHEET'!$L$6=24,'分析過程'!$C$13*10000,"")</f>
      </c>
      <c r="X27" s="139">
        <f>'分析過程'!Z49*10000</f>
        <v>1302.0364394334497</v>
      </c>
      <c r="Y27" s="143">
        <f t="shared" si="6"/>
        <v>7</v>
      </c>
      <c r="Z27" s="139">
        <f>'分析過程'!AN93*10000</f>
        <v>5542.476999498443</v>
      </c>
      <c r="AA27" s="143">
        <f t="shared" si="7"/>
        <v>6</v>
      </c>
      <c r="AB27" s="140">
        <f>IF('入力SHEET'!$L$6=24,W27+X27+Z27,X27+Z27)</f>
        <v>6844.513438931892</v>
      </c>
      <c r="AC27" s="144">
        <f t="shared" si="8"/>
        <v>7</v>
      </c>
    </row>
    <row r="28" spans="1:29" s="137" customFormat="1" ht="24.75" customHeight="1">
      <c r="A28" s="129">
        <f>'入力SHEET'!B28</f>
        <v>25</v>
      </c>
      <c r="B28" s="130" t="str">
        <f>'入力SHEET'!C28</f>
        <v>公務</v>
      </c>
      <c r="C28" s="142">
        <f>IF('入力SHEET'!$L$6=25,'入力SHEET'!$L$12*10000,"")</f>
      </c>
      <c r="D28" s="132">
        <f>'分析過程'!L50*10000</f>
        <v>924.9439400272176</v>
      </c>
      <c r="E28" s="143">
        <f t="shared" si="0"/>
        <v>17</v>
      </c>
      <c r="F28" s="134">
        <f>'分析過程'!Z94*10000</f>
        <v>1241.083408065057</v>
      </c>
      <c r="G28" s="143">
        <f t="shared" si="4"/>
        <v>21</v>
      </c>
      <c r="H28" s="135">
        <f>IF('入力SHEET'!$L$6=25,C28+D28+F28,D28+F28)</f>
        <v>2166.0273480922747</v>
      </c>
      <c r="I28" s="144">
        <f t="shared" si="5"/>
        <v>24</v>
      </c>
      <c r="K28" s="129">
        <f>'入力SHEET'!B28</f>
        <v>25</v>
      </c>
      <c r="L28" s="130" t="str">
        <f>'入力SHEET'!C28</f>
        <v>公務</v>
      </c>
      <c r="M28" s="145">
        <f>IF('入力SHEET'!$L$6=25,'分析過程'!$C$9*10000,"")</f>
      </c>
      <c r="N28" s="139">
        <f>'分析過程'!S50*10000</f>
        <v>653.164173095001</v>
      </c>
      <c r="O28" s="143">
        <f t="shared" si="1"/>
        <v>17</v>
      </c>
      <c r="P28" s="139">
        <f>'分析過程'!AG94*10000</f>
        <v>876.4111887114855</v>
      </c>
      <c r="Q28" s="143">
        <f t="shared" si="2"/>
        <v>17</v>
      </c>
      <c r="R28" s="140">
        <f>IF('入力SHEET'!$L$6=25,M28+N28+P28,N28+P28)</f>
        <v>1529.5753618064864</v>
      </c>
      <c r="S28" s="144">
        <f t="shared" si="3"/>
        <v>20</v>
      </c>
      <c r="U28" s="129">
        <f>'入力SHEET'!B28</f>
        <v>25</v>
      </c>
      <c r="V28" s="130" t="str">
        <f>'入力SHEET'!C28</f>
        <v>公務</v>
      </c>
      <c r="W28" s="146">
        <f>IF('入力SHEET'!$L$6=25,'分析過程'!$C$13*10000,"")</f>
      </c>
      <c r="X28" s="139">
        <f>'分析過程'!Z50*10000</f>
        <v>611.9776948024436</v>
      </c>
      <c r="Y28" s="143">
        <f t="shared" si="6"/>
        <v>11</v>
      </c>
      <c r="Z28" s="139">
        <f>'分析過程'!AN94*10000</f>
        <v>821.1474558153917</v>
      </c>
      <c r="AA28" s="143">
        <f t="shared" si="7"/>
        <v>16</v>
      </c>
      <c r="AB28" s="140">
        <f>IF('入力SHEET'!$L$6=25,W28+X28+Z28,X28+Z28)</f>
        <v>1433.1251506178353</v>
      </c>
      <c r="AC28" s="144">
        <f t="shared" si="8"/>
        <v>16</v>
      </c>
    </row>
    <row r="29" spans="1:29" s="137" customFormat="1" ht="24.75" customHeight="1">
      <c r="A29" s="129">
        <f>'入力SHEET'!B29</f>
        <v>26</v>
      </c>
      <c r="B29" s="130" t="str">
        <f>'入力SHEET'!C29</f>
        <v>教育･研究</v>
      </c>
      <c r="C29" s="142">
        <f>IF('入力SHEET'!$L$6=26,'入力SHEET'!$L$12*10000,"")</f>
      </c>
      <c r="D29" s="132">
        <f>'分析過程'!L51*10000</f>
        <v>1236.406879608491</v>
      </c>
      <c r="E29" s="143">
        <f t="shared" si="0"/>
        <v>16</v>
      </c>
      <c r="F29" s="134">
        <f>'分析過程'!Z95*10000</f>
        <v>9112.873484218851</v>
      </c>
      <c r="G29" s="143">
        <f t="shared" si="4"/>
        <v>10</v>
      </c>
      <c r="H29" s="135">
        <f>IF('入力SHEET'!$L$6=26,C29+D29+F29,D29+F29)</f>
        <v>10349.280363827342</v>
      </c>
      <c r="I29" s="144">
        <f t="shared" si="5"/>
        <v>11</v>
      </c>
      <c r="K29" s="129">
        <f>'入力SHEET'!B29</f>
        <v>26</v>
      </c>
      <c r="L29" s="130" t="str">
        <f>'入力SHEET'!C29</f>
        <v>教育･研究</v>
      </c>
      <c r="M29" s="145">
        <f>IF('入力SHEET'!$L$6=26,'分析過程'!$C$9*10000,"")</f>
      </c>
      <c r="N29" s="139">
        <f>'分析過程'!S51*10000</f>
        <v>769.677476771696</v>
      </c>
      <c r="O29" s="143">
        <f t="shared" si="1"/>
        <v>16</v>
      </c>
      <c r="P29" s="139">
        <f>'分析過程'!AG95*10000</f>
        <v>5672.86836166282</v>
      </c>
      <c r="Q29" s="143">
        <f t="shared" si="2"/>
        <v>10</v>
      </c>
      <c r="R29" s="140">
        <f>IF('入力SHEET'!$L$6=26,M29+N29+P29,N29+P29)</f>
        <v>6442.545838434516</v>
      </c>
      <c r="S29" s="144">
        <f t="shared" si="3"/>
        <v>11</v>
      </c>
      <c r="U29" s="129">
        <f>'入力SHEET'!B29</f>
        <v>26</v>
      </c>
      <c r="V29" s="130" t="str">
        <f>'入力SHEET'!C29</f>
        <v>教育･研究</v>
      </c>
      <c r="W29" s="146">
        <f>IF('入力SHEET'!$L$6=26,'分析過程'!$C$13*10000,"")</f>
      </c>
      <c r="X29" s="139">
        <f>'分析過程'!Z51*10000</f>
        <v>688.7163493083335</v>
      </c>
      <c r="Y29" s="143">
        <f t="shared" si="6"/>
        <v>10</v>
      </c>
      <c r="Z29" s="139">
        <f>'分析過程'!AN95*10000</f>
        <v>5076.1485246242555</v>
      </c>
      <c r="AA29" s="143">
        <f t="shared" si="7"/>
        <v>7</v>
      </c>
      <c r="AB29" s="140">
        <f>IF('入力SHEET'!$L$6=26,W29+X29+Z29,X29+Z29)</f>
        <v>5764.864873932589</v>
      </c>
      <c r="AC29" s="144">
        <f t="shared" si="8"/>
        <v>8</v>
      </c>
    </row>
    <row r="30" spans="1:29" s="137" customFormat="1" ht="24.75" customHeight="1">
      <c r="A30" s="129">
        <f>'入力SHEET'!B30</f>
        <v>27</v>
      </c>
      <c r="B30" s="130" t="str">
        <f>'入力SHEET'!C30</f>
        <v>医療･保健･社会保障</v>
      </c>
      <c r="C30" s="142">
        <f>IF('入力SHEET'!$L$6=27,'入力SHEET'!$L$12*10000,"")</f>
      </c>
      <c r="D30" s="132">
        <f>'分析過程'!L52*10000</f>
        <v>874.2159665071545</v>
      </c>
      <c r="E30" s="143">
        <f t="shared" si="0"/>
        <v>18</v>
      </c>
      <c r="F30" s="134">
        <f>'分析過程'!Z96*10000</f>
        <v>10754.606352963023</v>
      </c>
      <c r="G30" s="143">
        <f t="shared" si="4"/>
        <v>9</v>
      </c>
      <c r="H30" s="135">
        <f>IF('入力SHEET'!$L$6=27,C30+D30+F30,D30+F30)</f>
        <v>11628.822319470177</v>
      </c>
      <c r="I30" s="144">
        <f t="shared" si="5"/>
        <v>10</v>
      </c>
      <c r="K30" s="129">
        <f>'入力SHEET'!B30</f>
        <v>27</v>
      </c>
      <c r="L30" s="130" t="str">
        <f>'入力SHEET'!C30</f>
        <v>医療･保健･社会保障</v>
      </c>
      <c r="M30" s="145">
        <f>IF('入力SHEET'!$L$6=27,'分析過程'!$C$9*10000,"")</f>
      </c>
      <c r="N30" s="139">
        <f>'分析過程'!S52*10000</f>
        <v>504.9260125400609</v>
      </c>
      <c r="O30" s="143">
        <f t="shared" si="1"/>
        <v>19</v>
      </c>
      <c r="P30" s="139">
        <f>'分析過程'!AG96*10000</f>
        <v>6211.600691686962</v>
      </c>
      <c r="Q30" s="143">
        <f t="shared" si="2"/>
        <v>9</v>
      </c>
      <c r="R30" s="140">
        <f>IF('入力SHEET'!$L$6=27,M30+N30+P30,N30+P30)</f>
        <v>6716.5267042270225</v>
      </c>
      <c r="S30" s="144">
        <f t="shared" si="3"/>
        <v>10</v>
      </c>
      <c r="U30" s="129">
        <f>'入力SHEET'!B30</f>
        <v>27</v>
      </c>
      <c r="V30" s="130" t="str">
        <f>'入力SHEET'!C30</f>
        <v>医療･保健･社会保障</v>
      </c>
      <c r="W30" s="146">
        <f>IF('入力SHEET'!$L$6=27,'分析過程'!$C$13*10000,"")</f>
      </c>
      <c r="X30" s="139">
        <f>'分析過程'!Z52*10000</f>
        <v>381.5772489089364</v>
      </c>
      <c r="Y30" s="143">
        <f t="shared" si="6"/>
        <v>17</v>
      </c>
      <c r="Z30" s="139">
        <f>'分析過程'!AN96*10000</f>
        <v>4694.163985197148</v>
      </c>
      <c r="AA30" s="143">
        <f t="shared" si="7"/>
        <v>8</v>
      </c>
      <c r="AB30" s="140">
        <f>IF('入力SHEET'!$L$6=27,W30+X30+Z30,X30+Z30)</f>
        <v>5075.741234106084</v>
      </c>
      <c r="AC30" s="144">
        <f t="shared" si="8"/>
        <v>9</v>
      </c>
    </row>
    <row r="31" spans="1:29" s="137" customFormat="1" ht="24.75" customHeight="1">
      <c r="A31" s="129">
        <f>'入力SHEET'!B31</f>
        <v>28</v>
      </c>
      <c r="B31" s="130" t="str">
        <f>'入力SHEET'!C31</f>
        <v>その他の公共ｻｰﾋﾞｽ</v>
      </c>
      <c r="C31" s="142">
        <f>IF('入力SHEET'!$L$6=28,'入力SHEET'!$L$12*10000,"")</f>
      </c>
      <c r="D31" s="132">
        <f>'分析過程'!L53*10000</f>
        <v>484.8942827073085</v>
      </c>
      <c r="E31" s="143">
        <f t="shared" si="0"/>
        <v>20</v>
      </c>
      <c r="F31" s="134">
        <f>'分析過程'!Z97*10000</f>
        <v>6835.360755069818</v>
      </c>
      <c r="G31" s="143">
        <f t="shared" si="4"/>
        <v>12</v>
      </c>
      <c r="H31" s="135">
        <f>IF('入力SHEET'!$L$6=28,C31+D31+F31,D31+F31)</f>
        <v>7320.255037777127</v>
      </c>
      <c r="I31" s="144">
        <f t="shared" si="5"/>
        <v>15</v>
      </c>
      <c r="K31" s="129">
        <f>'入力SHEET'!B31</f>
        <v>28</v>
      </c>
      <c r="L31" s="130" t="str">
        <f>'入力SHEET'!C31</f>
        <v>その他の公共ｻｰﾋﾞｽ</v>
      </c>
      <c r="M31" s="145">
        <f>IF('入力SHEET'!$L$6=28,'分析過程'!$C$9*10000,"")</f>
      </c>
      <c r="N31" s="139">
        <f>'分析過程'!S53*10000</f>
        <v>294.36741984426703</v>
      </c>
      <c r="O31" s="143">
        <f t="shared" si="1"/>
        <v>20</v>
      </c>
      <c r="P31" s="139">
        <f>'分析過程'!AG97*10000</f>
        <v>4149.579776318397</v>
      </c>
      <c r="Q31" s="143">
        <f t="shared" si="2"/>
        <v>11</v>
      </c>
      <c r="R31" s="140">
        <f>IF('入力SHEET'!$L$6=28,M31+N31+P31,N31+P31)</f>
        <v>4443.947196162664</v>
      </c>
      <c r="S31" s="144">
        <f t="shared" si="3"/>
        <v>12</v>
      </c>
      <c r="U31" s="129">
        <f>'入力SHEET'!B31</f>
        <v>28</v>
      </c>
      <c r="V31" s="130" t="str">
        <f>'入力SHEET'!C31</f>
        <v>その他の公共ｻｰﾋﾞｽ</v>
      </c>
      <c r="W31" s="146">
        <f>IF('入力SHEET'!$L$6=28,'分析過程'!$C$13*10000,"")</f>
      </c>
      <c r="X31" s="139">
        <f>'分析過程'!Z53*10000</f>
        <v>238.16079998443246</v>
      </c>
      <c r="Y31" s="143">
        <f t="shared" si="6"/>
        <v>19</v>
      </c>
      <c r="Z31" s="139">
        <f>'分析過程'!AN97*10000</f>
        <v>3357.257537705931</v>
      </c>
      <c r="AA31" s="143">
        <f t="shared" si="7"/>
        <v>9</v>
      </c>
      <c r="AB31" s="140">
        <f>IF('入力SHEET'!$L$6=28,W31+X31+Z31,X31+Z31)</f>
        <v>3595.4183376903634</v>
      </c>
      <c r="AC31" s="144">
        <f t="shared" si="8"/>
        <v>10</v>
      </c>
    </row>
    <row r="32" spans="1:29" s="137" customFormat="1" ht="24.75" customHeight="1">
      <c r="A32" s="129">
        <f>'入力SHEET'!B32</f>
        <v>29</v>
      </c>
      <c r="B32" s="130" t="str">
        <f>'入力SHEET'!C32</f>
        <v>対事業所ｻｰﾋﾞｽ</v>
      </c>
      <c r="C32" s="142">
        <f>IF('入力SHEET'!$L$6=29,'入力SHEET'!$L$12*10000,"")</f>
      </c>
      <c r="D32" s="132">
        <f>'分析過程'!L54*10000</f>
        <v>26693.598038612865</v>
      </c>
      <c r="E32" s="143">
        <f t="shared" si="0"/>
        <v>2</v>
      </c>
      <c r="F32" s="134">
        <f>'分析過程'!Z98*10000</f>
        <v>21175.892489094447</v>
      </c>
      <c r="G32" s="143">
        <f t="shared" si="4"/>
        <v>5</v>
      </c>
      <c r="H32" s="135">
        <f>IF('入力SHEET'!$L$6=29,C32+D32+F32,D32+F32)</f>
        <v>47869.49052770731</v>
      </c>
      <c r="I32" s="144">
        <f t="shared" si="5"/>
        <v>4</v>
      </c>
      <c r="K32" s="129">
        <f>'入力SHEET'!B32</f>
        <v>29</v>
      </c>
      <c r="L32" s="130" t="str">
        <f>'入力SHEET'!C32</f>
        <v>対事業所ｻｰﾋﾞｽ</v>
      </c>
      <c r="M32" s="145">
        <f>IF('入力SHEET'!$L$6=29,'分析過程'!$C$9*10000,"")</f>
      </c>
      <c r="N32" s="139">
        <f>'分析過程'!S54*10000</f>
        <v>16224.442663775402</v>
      </c>
      <c r="O32" s="143">
        <f t="shared" si="1"/>
        <v>2</v>
      </c>
      <c r="P32" s="139">
        <f>'分析過程'!AG98*10000</f>
        <v>12870.765980914523</v>
      </c>
      <c r="Q32" s="143">
        <f t="shared" si="2"/>
        <v>5</v>
      </c>
      <c r="R32" s="140">
        <f>IF('入力SHEET'!$L$6=29,M32+N32+P32,N32+P32)</f>
        <v>29095.208644689927</v>
      </c>
      <c r="S32" s="144">
        <f t="shared" si="3"/>
        <v>4</v>
      </c>
      <c r="U32" s="129">
        <f>'入力SHEET'!B32</f>
        <v>29</v>
      </c>
      <c r="V32" s="130" t="str">
        <f>'入力SHEET'!C32</f>
        <v>対事業所ｻｰﾋﾞｽ</v>
      </c>
      <c r="W32" s="146">
        <f>IF('入力SHEET'!$L$6=29,'分析過程'!$C$13*10000,"")</f>
      </c>
      <c r="X32" s="139">
        <f>'分析過程'!Z54*10000</f>
        <v>8827.353776002928</v>
      </c>
      <c r="Y32" s="143">
        <f t="shared" si="6"/>
        <v>2</v>
      </c>
      <c r="Z32" s="139">
        <f>'分析過程'!AN98*10000</f>
        <v>7002.69383892894</v>
      </c>
      <c r="AA32" s="143">
        <f t="shared" si="7"/>
        <v>3</v>
      </c>
      <c r="AB32" s="140">
        <f>IF('入力SHEET'!$L$6=29,W32+X32+Z32,X32+Z32)</f>
        <v>15830.047614931867</v>
      </c>
      <c r="AC32" s="144">
        <f t="shared" si="8"/>
        <v>3</v>
      </c>
    </row>
    <row r="33" spans="1:29" s="137" customFormat="1" ht="24.75" customHeight="1">
      <c r="A33" s="129">
        <f>'入力SHEET'!B33</f>
        <v>30</v>
      </c>
      <c r="B33" s="130" t="str">
        <f>'入力SHEET'!C33</f>
        <v>対個人ｻｰﾋﾞｽ</v>
      </c>
      <c r="C33" s="142">
        <f>IF('入力SHEET'!$L$6=30,'入力SHEET'!$L$12*10000,"")</f>
      </c>
      <c r="D33" s="132">
        <f>'分析過程'!L55*10000</f>
        <v>360.73786061471907</v>
      </c>
      <c r="E33" s="143">
        <f t="shared" si="0"/>
        <v>25</v>
      </c>
      <c r="F33" s="134">
        <f>'分析過程'!Z99*10000</f>
        <v>23409.838445610138</v>
      </c>
      <c r="G33" s="143">
        <f t="shared" si="4"/>
        <v>3</v>
      </c>
      <c r="H33" s="135">
        <f>IF('入力SHEET'!$L$6=30,C33+D33+F33,D33+F33)</f>
        <v>23770.576306224855</v>
      </c>
      <c r="I33" s="144">
        <f t="shared" si="5"/>
        <v>6</v>
      </c>
      <c r="K33" s="129">
        <f>'入力SHEET'!B33</f>
        <v>30</v>
      </c>
      <c r="L33" s="130" t="str">
        <f>'入力SHEET'!C33</f>
        <v>対個人ｻｰﾋﾞｽ</v>
      </c>
      <c r="M33" s="145">
        <f>IF('入力SHEET'!$L$6=30,'分析過程'!$C$9*10000,"")</f>
      </c>
      <c r="N33" s="139">
        <f>'分析過程'!S55*10000</f>
        <v>211.41227385038684</v>
      </c>
      <c r="O33" s="143">
        <f t="shared" si="1"/>
        <v>21</v>
      </c>
      <c r="P33" s="139">
        <f>'分析過程'!AG99*10000</f>
        <v>13719.455916889436</v>
      </c>
      <c r="Q33" s="143">
        <f t="shared" si="2"/>
        <v>4</v>
      </c>
      <c r="R33" s="140">
        <f>IF('入力SHEET'!$L$6=30,M33+N33+P33,N33+P33)</f>
        <v>13930.868190739822</v>
      </c>
      <c r="S33" s="144">
        <f t="shared" si="3"/>
        <v>7</v>
      </c>
      <c r="U33" s="129">
        <f>'入力SHEET'!B33</f>
        <v>30</v>
      </c>
      <c r="V33" s="130" t="str">
        <f>'入力SHEET'!C33</f>
        <v>対個人ｻｰﾋﾞｽ</v>
      </c>
      <c r="W33" s="146">
        <f>IF('入力SHEET'!$L$6=30,'分析過程'!$C$13*10000,"")</f>
      </c>
      <c r="X33" s="139">
        <f>'分析過程'!Z55*10000</f>
        <v>106.8033891943809</v>
      </c>
      <c r="Y33" s="143">
        <f t="shared" si="6"/>
        <v>20</v>
      </c>
      <c r="Z33" s="139">
        <f>'分析過程'!AN99*10000</f>
        <v>6930.933399182173</v>
      </c>
      <c r="AA33" s="143">
        <f t="shared" si="7"/>
        <v>4</v>
      </c>
      <c r="AB33" s="140">
        <f>IF('入力SHEET'!$L$6=30,W33+X33+Z33,X33+Z33)</f>
        <v>7037.736788376554</v>
      </c>
      <c r="AC33" s="144">
        <f t="shared" si="8"/>
        <v>6</v>
      </c>
    </row>
    <row r="34" spans="1:29" s="137" customFormat="1" ht="24.75" customHeight="1">
      <c r="A34" s="129">
        <f>'入力SHEET'!B34</f>
        <v>31</v>
      </c>
      <c r="B34" s="130" t="str">
        <f>'入力SHEET'!C34</f>
        <v>事務用品</v>
      </c>
      <c r="C34" s="142">
        <f>IF('入力SHEET'!$L$6=31,'入力SHEET'!$L$12*10000,"")</f>
      </c>
      <c r="D34" s="132">
        <f>'分析過程'!L56*10000</f>
        <v>407.6913748905309</v>
      </c>
      <c r="E34" s="143">
        <f t="shared" si="0"/>
        <v>23</v>
      </c>
      <c r="F34" s="134">
        <f>'分析過程'!Z100*10000</f>
        <v>611.1470077165526</v>
      </c>
      <c r="G34" s="143">
        <f t="shared" si="4"/>
        <v>24</v>
      </c>
      <c r="H34" s="135">
        <f>IF('入力SHEET'!$L$6=31,C34+D34+F34,D34+F34)</f>
        <v>1018.8383826070835</v>
      </c>
      <c r="I34" s="144">
        <f t="shared" si="5"/>
        <v>27</v>
      </c>
      <c r="K34" s="129">
        <f>'入力SHEET'!B34</f>
        <v>31</v>
      </c>
      <c r="L34" s="130" t="str">
        <f>'入力SHEET'!C34</f>
        <v>事務用品</v>
      </c>
      <c r="M34" s="145">
        <f>IF('入力SHEET'!$L$6=31,'分析過程'!$C$9*10000,"")</f>
      </c>
      <c r="N34" s="139">
        <f>'分析過程'!S56*10000</f>
        <v>0</v>
      </c>
      <c r="O34" s="143">
        <f t="shared" si="1"/>
        <v>32</v>
      </c>
      <c r="P34" s="139">
        <f>'分析過程'!AG100*10000</f>
        <v>0</v>
      </c>
      <c r="Q34" s="143">
        <f t="shared" si="2"/>
        <v>32</v>
      </c>
      <c r="R34" s="140">
        <f>IF('入力SHEET'!$L$6=31,M34+N34+P34,N34+P34)</f>
        <v>0</v>
      </c>
      <c r="S34" s="144">
        <f t="shared" si="3"/>
        <v>32</v>
      </c>
      <c r="U34" s="129">
        <f>'入力SHEET'!B34</f>
        <v>31</v>
      </c>
      <c r="V34" s="130" t="str">
        <f>'入力SHEET'!C34</f>
        <v>事務用品</v>
      </c>
      <c r="W34" s="146">
        <f>IF('入力SHEET'!$L$6=31,'分析過程'!$C$13*10000,"")</f>
      </c>
      <c r="X34" s="139">
        <f>'分析過程'!Z56*10000</f>
        <v>0</v>
      </c>
      <c r="Y34" s="143">
        <f t="shared" si="6"/>
        <v>32</v>
      </c>
      <c r="Z34" s="139">
        <f>'分析過程'!AN100*10000</f>
        <v>0</v>
      </c>
      <c r="AA34" s="143">
        <f t="shared" si="7"/>
        <v>32</v>
      </c>
      <c r="AB34" s="140">
        <f>IF('入力SHEET'!$L$6=31,W34+X34+Z34,X34+Z34)</f>
        <v>0</v>
      </c>
      <c r="AC34" s="144">
        <f t="shared" si="8"/>
        <v>32</v>
      </c>
    </row>
    <row r="35" spans="1:29" s="137" customFormat="1" ht="24.75" customHeight="1">
      <c r="A35" s="129">
        <f>'入力SHEET'!B35</f>
        <v>32</v>
      </c>
      <c r="B35" s="130" t="str">
        <f>'入力SHEET'!C35</f>
        <v>分類不明</v>
      </c>
      <c r="C35" s="142">
        <f>IF('入力SHEET'!$L$6=32,'入力SHEET'!$L$12*10000,"")</f>
      </c>
      <c r="D35" s="132">
        <f>'分析過程'!L57*10000</f>
        <v>4191.739463382947</v>
      </c>
      <c r="E35" s="143">
        <f t="shared" si="0"/>
        <v>7</v>
      </c>
      <c r="F35" s="134">
        <f>'分析過程'!Z101*10000</f>
        <v>1430.8880711437782</v>
      </c>
      <c r="G35" s="143">
        <f t="shared" si="4"/>
        <v>19</v>
      </c>
      <c r="H35" s="135">
        <f>IF('入力SHEET'!$L$6=32,C35+D35+F35,D35+F35)</f>
        <v>5622.627534526726</v>
      </c>
      <c r="I35" s="144">
        <f t="shared" si="5"/>
        <v>17</v>
      </c>
      <c r="K35" s="129">
        <f>'入力SHEET'!B35</f>
        <v>32</v>
      </c>
      <c r="L35" s="130" t="str">
        <f>'入力SHEET'!C35</f>
        <v>分類不明</v>
      </c>
      <c r="M35" s="145">
        <f>IF('入力SHEET'!$L$6=32,'分析過程'!$C$9*10000,"")</f>
      </c>
      <c r="N35" s="139">
        <f>'分析過程'!S57*10000</f>
        <v>1190.016195999122</v>
      </c>
      <c r="O35" s="143">
        <f t="shared" si="1"/>
        <v>13</v>
      </c>
      <c r="P35" s="139">
        <f>'分析過程'!AG101*10000</f>
        <v>406.22276126599</v>
      </c>
      <c r="Q35" s="143">
        <f t="shared" si="2"/>
        <v>21</v>
      </c>
      <c r="R35" s="140">
        <f>IF('入力SHEET'!$L$6=32,M35+N35+P35,N35+P35)</f>
        <v>1596.2389572651118</v>
      </c>
      <c r="S35" s="144">
        <f t="shared" si="3"/>
        <v>18</v>
      </c>
      <c r="U35" s="129">
        <f>'入力SHEET'!B35</f>
        <v>32</v>
      </c>
      <c r="V35" s="130" t="str">
        <f>'入力SHEET'!C35</f>
        <v>分類不明</v>
      </c>
      <c r="W35" s="146">
        <f>IF('入力SHEET'!$L$6=32,'分析過程'!$C$13*10000,"")</f>
      </c>
      <c r="X35" s="139">
        <f>'分析過程'!Z57*10000</f>
        <v>543.2906128353316</v>
      </c>
      <c r="Y35" s="143">
        <f t="shared" si="6"/>
        <v>13</v>
      </c>
      <c r="Z35" s="139">
        <f>'分析過程'!AN101*10000</f>
        <v>185.45715063194245</v>
      </c>
      <c r="AA35" s="143">
        <f t="shared" si="7"/>
        <v>22</v>
      </c>
      <c r="AB35" s="140">
        <f>IF('入力SHEET'!$L$6=32,W35+X35+Z35,X35+Z35)</f>
        <v>728.747763467274</v>
      </c>
      <c r="AC35" s="144">
        <f t="shared" si="8"/>
        <v>21</v>
      </c>
    </row>
    <row r="36" spans="1:29" s="137" customFormat="1" ht="24.75" customHeight="1">
      <c r="A36" s="147"/>
      <c r="B36" s="148" t="s">
        <v>94</v>
      </c>
      <c r="C36" s="149">
        <f>SUM(C4:C35)</f>
        <v>1000000</v>
      </c>
      <c r="D36" s="150">
        <f>SUM(D4:D35)</f>
        <v>377013.7908268529</v>
      </c>
      <c r="E36" s="151"/>
      <c r="F36" s="152">
        <f>SUM(F4:F35)</f>
        <v>271054.3540612075</v>
      </c>
      <c r="G36" s="151"/>
      <c r="H36" s="153">
        <f>SUM(H4:H35)</f>
        <v>1648068.1448880602</v>
      </c>
      <c r="I36" s="154"/>
      <c r="K36" s="147"/>
      <c r="L36" s="148" t="s">
        <v>94</v>
      </c>
      <c r="M36" s="155">
        <f>SUM(M4:M35)</f>
        <v>456243.0206471015</v>
      </c>
      <c r="N36" s="156">
        <f>SUM(N4:N35)</f>
        <v>182954.51411355947</v>
      </c>
      <c r="O36" s="151"/>
      <c r="P36" s="156">
        <f>SUM(P4:P35)</f>
        <v>176799.072590242</v>
      </c>
      <c r="Q36" s="151"/>
      <c r="R36" s="157">
        <f>SUM(R4:R35)</f>
        <v>815996.607350903</v>
      </c>
      <c r="S36" s="154"/>
      <c r="U36" s="147"/>
      <c r="V36" s="148" t="s">
        <v>94</v>
      </c>
      <c r="W36" s="158">
        <f>SUM(W4:W35)</f>
        <v>269475.65404485725</v>
      </c>
      <c r="X36" s="156">
        <f>SUM(X4:X35)</f>
        <v>106270.07418342459</v>
      </c>
      <c r="Y36" s="151"/>
      <c r="Z36" s="156">
        <f>SUM(Z4:Z35)</f>
        <v>77371.98892374588</v>
      </c>
      <c r="AA36" s="151"/>
      <c r="AB36" s="157">
        <f>SUM(AB4:AB35)</f>
        <v>453117.71715202765</v>
      </c>
      <c r="AC36" s="154"/>
    </row>
    <row r="37" spans="3:23" s="137" customFormat="1" ht="24.75" customHeight="1">
      <c r="C37" s="159"/>
      <c r="D37" s="160"/>
      <c r="F37" s="161"/>
      <c r="H37" s="162"/>
      <c r="M37" s="163"/>
      <c r="W37" s="164"/>
    </row>
    <row r="38" spans="1:29" s="137" customFormat="1" ht="24.75" customHeight="1">
      <c r="A38" s="192" t="s">
        <v>133</v>
      </c>
      <c r="B38" s="213"/>
      <c r="C38" s="166">
        <f>IF(H38-F38-D38=0,0,H38-F38-D38)</f>
        <v>5.684341886080802E-14</v>
      </c>
      <c r="D38" s="167">
        <f>D4</f>
        <v>381.2548765490523</v>
      </c>
      <c r="E38" s="165"/>
      <c r="F38" s="168">
        <f>F4</f>
        <v>1790.8951731283432</v>
      </c>
      <c r="G38" s="165"/>
      <c r="H38" s="169">
        <f>H4</f>
        <v>2172.1500496773956</v>
      </c>
      <c r="I38" s="170"/>
      <c r="K38" s="192" t="s">
        <v>133</v>
      </c>
      <c r="L38" s="213"/>
      <c r="M38" s="171">
        <f>IF(R38-P38-N38=0,0,R38-P38-N38)</f>
        <v>-2.842170943040401E-14</v>
      </c>
      <c r="N38" s="166">
        <f>N4</f>
        <v>181.35471263461332</v>
      </c>
      <c r="O38" s="165"/>
      <c r="P38" s="166">
        <f>P4</f>
        <v>851.8901644517576</v>
      </c>
      <c r="Q38" s="165"/>
      <c r="R38" s="172">
        <f>R4</f>
        <v>1033.244877086371</v>
      </c>
      <c r="S38" s="170"/>
      <c r="U38" s="192" t="s">
        <v>133</v>
      </c>
      <c r="V38" s="213"/>
      <c r="W38" s="168">
        <f>IF(AB38-Z38-X38=0,0,AB38-Z38-X38)</f>
        <v>1.0658141036401503E-14</v>
      </c>
      <c r="X38" s="166">
        <f>X4</f>
        <v>28.011071454120344</v>
      </c>
      <c r="Y38" s="165"/>
      <c r="Z38" s="166">
        <f>Z4</f>
        <v>131.578363312772</v>
      </c>
      <c r="AA38" s="165"/>
      <c r="AB38" s="172">
        <f>AB4</f>
        <v>159.58943476689237</v>
      </c>
      <c r="AC38" s="170"/>
    </row>
    <row r="39" spans="1:29" s="137" customFormat="1" ht="24.75" customHeight="1">
      <c r="A39" s="192" t="s">
        <v>134</v>
      </c>
      <c r="B39" s="213"/>
      <c r="C39" s="166">
        <f>IF(H39-F39-D39=0,"",H39-F39-D39)</f>
        <v>999999.9999999999</v>
      </c>
      <c r="D39" s="173">
        <f>SUM(D5:D20)+D34</f>
        <v>300414.5556817361</v>
      </c>
      <c r="E39" s="165"/>
      <c r="F39" s="174">
        <f>SUM(F5:F20)+F34</f>
        <v>29488.77164586626</v>
      </c>
      <c r="G39" s="165"/>
      <c r="H39" s="175">
        <f>SUM(H5:H20)+H34</f>
        <v>1329903.3273276023</v>
      </c>
      <c r="I39" s="170"/>
      <c r="K39" s="192" t="s">
        <v>134</v>
      </c>
      <c r="L39" s="213"/>
      <c r="M39" s="171">
        <f>IF(R39-P39-N39=0,"",R39-P39-N39)</f>
        <v>456243.02064710157</v>
      </c>
      <c r="N39" s="176">
        <f>SUM(N5:N20)+N34</f>
        <v>134728.5287838676</v>
      </c>
      <c r="O39" s="165"/>
      <c r="P39" s="176">
        <f>SUM(P5:P20)+P34</f>
        <v>10709.309517593803</v>
      </c>
      <c r="Q39" s="165"/>
      <c r="R39" s="177">
        <f>SUM(R5:R20)+R34</f>
        <v>601680.858948563</v>
      </c>
      <c r="S39" s="170"/>
      <c r="U39" s="192" t="s">
        <v>134</v>
      </c>
      <c r="V39" s="213"/>
      <c r="W39" s="168">
        <f>IF(AB39-Z39-X39=0,"",AB39-Z39-X39)</f>
        <v>269475.65404485725</v>
      </c>
      <c r="X39" s="176">
        <f>SUM(X5:X20)+X34</f>
        <v>79000.40457312946</v>
      </c>
      <c r="Y39" s="165"/>
      <c r="Z39" s="176">
        <f>SUM(Z5:Z20)+Z34</f>
        <v>5076.265014413778</v>
      </c>
      <c r="AA39" s="165"/>
      <c r="AB39" s="177">
        <f>SUM(AB5:AB20)+AB34</f>
        <v>353552.3236324005</v>
      </c>
      <c r="AC39" s="170"/>
    </row>
    <row r="40" spans="1:29" s="137" customFormat="1" ht="24.75" customHeight="1">
      <c r="A40" s="192" t="s">
        <v>135</v>
      </c>
      <c r="B40" s="213"/>
      <c r="C40" s="178">
        <f>IF(H40-F40-D40=0,0,H40-F40-D40)</f>
        <v>2.9103830456733704E-11</v>
      </c>
      <c r="D40" s="179">
        <f>SUM(D21:D33)+D35</f>
        <v>76217.98026856789</v>
      </c>
      <c r="E40" s="180"/>
      <c r="F40" s="181">
        <f>SUM(F21:F33)+F35</f>
        <v>239774.68724221288</v>
      </c>
      <c r="G40" s="180"/>
      <c r="H40" s="182">
        <f>SUM(H21:H33)+H35</f>
        <v>315992.6675107808</v>
      </c>
      <c r="I40" s="183"/>
      <c r="K40" s="192" t="s">
        <v>135</v>
      </c>
      <c r="L40" s="213"/>
      <c r="M40" s="184">
        <f>IF(R40-P40-N40=0,0,R40-P40-N40)</f>
        <v>0</v>
      </c>
      <c r="N40" s="185">
        <f>SUM(N21:N33)+N35</f>
        <v>48044.630617057235</v>
      </c>
      <c r="O40" s="180"/>
      <c r="P40" s="185">
        <f>SUM(P21:P33)+P35</f>
        <v>165237.8729081964</v>
      </c>
      <c r="Q40" s="180"/>
      <c r="R40" s="186">
        <f>SUM(R21:R33)+R35</f>
        <v>213282.50352525365</v>
      </c>
      <c r="S40" s="183"/>
      <c r="U40" s="192" t="s">
        <v>135</v>
      </c>
      <c r="V40" s="213"/>
      <c r="W40" s="187">
        <f>IF(AB40-Z40-X40=0,0,AB40-Z40-X40)</f>
        <v>-1.0913936421275139E-11</v>
      </c>
      <c r="X40" s="185">
        <f>SUM(X21:X33)+X35</f>
        <v>27241.658538841013</v>
      </c>
      <c r="Y40" s="180"/>
      <c r="Z40" s="185">
        <f>SUM(Z21:Z33)+Z35</f>
        <v>72164.14554601934</v>
      </c>
      <c r="AA40" s="180"/>
      <c r="AB40" s="186">
        <f>SUM(AB21:AB33)+AB35</f>
        <v>99405.80408486034</v>
      </c>
      <c r="AC40" s="183"/>
    </row>
    <row r="41" s="122" customFormat="1" ht="21" customHeight="1"/>
    <row r="42" spans="1:30" ht="21"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1:30" ht="21"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row>
    <row r="44" ht="18.75">
      <c r="B44" s="45" t="s">
        <v>144</v>
      </c>
    </row>
    <row r="45" ht="18.75">
      <c r="B45" s="45"/>
    </row>
    <row r="46" ht="18.75">
      <c r="B46" s="45"/>
    </row>
    <row r="48" ht="12">
      <c r="AF48" s="38" t="s">
        <v>130</v>
      </c>
    </row>
    <row r="49" ht="12">
      <c r="AF49" s="38" t="s">
        <v>129</v>
      </c>
    </row>
    <row r="50" ht="12">
      <c r="AF50" s="38" t="s">
        <v>128</v>
      </c>
    </row>
    <row r="51" ht="12">
      <c r="AF51" s="38" t="s">
        <v>127</v>
      </c>
    </row>
    <row r="52" ht="12">
      <c r="AF52" s="38" t="s">
        <v>126</v>
      </c>
    </row>
    <row r="53" ht="12">
      <c r="AF53" s="38" t="s">
        <v>125</v>
      </c>
    </row>
    <row r="54" ht="12">
      <c r="AF54" s="38" t="s">
        <v>124</v>
      </c>
    </row>
    <row r="55" ht="12">
      <c r="AF55" s="38" t="s">
        <v>123</v>
      </c>
    </row>
    <row r="56" ht="12">
      <c r="AF56" s="38" t="s">
        <v>122</v>
      </c>
    </row>
    <row r="57" ht="12">
      <c r="AF57" s="38" t="s">
        <v>121</v>
      </c>
    </row>
    <row r="58" ht="12">
      <c r="AF58" s="38" t="s">
        <v>120</v>
      </c>
    </row>
    <row r="59" ht="12">
      <c r="AF59" s="38" t="s">
        <v>119</v>
      </c>
    </row>
    <row r="60" ht="12">
      <c r="AF60" s="38" t="s">
        <v>118</v>
      </c>
    </row>
    <row r="61" ht="12">
      <c r="AF61" s="38" t="s">
        <v>117</v>
      </c>
    </row>
    <row r="62" ht="12">
      <c r="AF62" s="38" t="s">
        <v>116</v>
      </c>
    </row>
    <row r="63" ht="12">
      <c r="AF63" s="41" t="s">
        <v>115</v>
      </c>
    </row>
    <row r="64" ht="12">
      <c r="AF64" s="38" t="s">
        <v>114</v>
      </c>
    </row>
    <row r="65" ht="12">
      <c r="AF65" s="38" t="s">
        <v>113</v>
      </c>
    </row>
    <row r="66" ht="12">
      <c r="AF66" s="41" t="s">
        <v>132</v>
      </c>
    </row>
    <row r="67" ht="12">
      <c r="AF67" s="38" t="s">
        <v>112</v>
      </c>
    </row>
    <row r="68" ht="12">
      <c r="AF68" s="38" t="s">
        <v>111</v>
      </c>
    </row>
    <row r="69" ht="12">
      <c r="AF69" s="38" t="s">
        <v>110</v>
      </c>
    </row>
    <row r="70" ht="12">
      <c r="AF70" s="38" t="s">
        <v>109</v>
      </c>
    </row>
    <row r="71" ht="12">
      <c r="AF71" s="38" t="s">
        <v>108</v>
      </c>
    </row>
    <row r="72" ht="12">
      <c r="AF72" s="38" t="s">
        <v>107</v>
      </c>
    </row>
    <row r="73" ht="12">
      <c r="AF73" s="38" t="s">
        <v>106</v>
      </c>
    </row>
    <row r="74" ht="12">
      <c r="AF74" s="41" t="s">
        <v>131</v>
      </c>
    </row>
    <row r="75" ht="12">
      <c r="AF75" s="38" t="s">
        <v>101</v>
      </c>
    </row>
    <row r="76" ht="12">
      <c r="AF76" s="38" t="s">
        <v>102</v>
      </c>
    </row>
    <row r="77" ht="12">
      <c r="AF77" s="38" t="s">
        <v>103</v>
      </c>
    </row>
    <row r="78" ht="12">
      <c r="AF78" s="38" t="s">
        <v>104</v>
      </c>
    </row>
    <row r="79" ht="12">
      <c r="AF79" s="38" t="s">
        <v>105</v>
      </c>
    </row>
    <row r="90" spans="1:30" ht="12">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row>
    <row r="91" ht="18.75">
      <c r="B91" s="45" t="s">
        <v>145</v>
      </c>
    </row>
    <row r="92" ht="18.75">
      <c r="B92" s="45"/>
    </row>
    <row r="93" ht="18.75">
      <c r="B93" s="45"/>
    </row>
  </sheetData>
  <sheetProtection sheet="1" objects="1" scenarios="1"/>
  <mergeCells count="13">
    <mergeCell ref="A3:B3"/>
    <mergeCell ref="K3:L3"/>
    <mergeCell ref="U3:V3"/>
    <mergeCell ref="H1:V1"/>
    <mergeCell ref="U38:V38"/>
    <mergeCell ref="U39:V39"/>
    <mergeCell ref="U40:V40"/>
    <mergeCell ref="A38:B38"/>
    <mergeCell ref="A39:B39"/>
    <mergeCell ref="A40:B40"/>
    <mergeCell ref="K38:L38"/>
    <mergeCell ref="K39:L39"/>
    <mergeCell ref="K40:L40"/>
  </mergeCells>
  <printOptions horizontalCentered="1" verticalCentered="1"/>
  <pageMargins left="0.5905511811023623" right="0.1968503937007874" top="0.5905511811023623" bottom="0.3937007874015748" header="0.31496062992125984" footer="0.31496062992125984"/>
  <pageSetup horizontalDpi="300" verticalDpi="300" orientation="landscape" paperSize="9" scale="47" r:id="rId2"/>
  <headerFooter alignWithMargins="0">
    <oddHeader>&amp;LFILE=&amp;F,SHEET=&amp;A</oddHeader>
  </headerFooter>
  <rowBreaks count="1" manualBreakCount="1">
    <brk id="42" max="255" man="1"/>
  </rowBreaks>
  <colBreaks count="1" manualBreakCount="1">
    <brk id="31" max="65535" man="1"/>
  </colBreak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100"/>
  <sheetViews>
    <sheetView showGridLines="0" workbookViewId="0" topLeftCell="A1">
      <selection activeCell="A1" sqref="A1"/>
    </sheetView>
  </sheetViews>
  <sheetFormatPr defaultColWidth="8.796875" defaultRowHeight="19.5" customHeight="1"/>
  <cols>
    <col min="1" max="1" width="3.59765625" style="3" customWidth="1"/>
    <col min="2" max="2" width="18.59765625" style="1" customWidth="1"/>
    <col min="3" max="8" width="12.59765625" style="4" customWidth="1"/>
    <col min="9" max="9" width="10.59765625" style="1" customWidth="1"/>
    <col min="10" max="10" width="13.09765625" style="1" customWidth="1"/>
    <col min="11" max="16384" width="10.59765625" style="1" customWidth="1"/>
  </cols>
  <sheetData>
    <row r="1" spans="3:9" ht="19.5" customHeight="1">
      <c r="C1" s="217" t="s">
        <v>40</v>
      </c>
      <c r="D1" s="218"/>
      <c r="E1" s="218"/>
      <c r="F1" s="218"/>
      <c r="G1" s="217" t="s">
        <v>139</v>
      </c>
      <c r="H1" s="217"/>
      <c r="I1" s="217"/>
    </row>
    <row r="2" spans="1:10" s="4" customFormat="1" ht="27">
      <c r="A2" s="6"/>
      <c r="C2" s="4" t="s">
        <v>0</v>
      </c>
      <c r="D2" s="4" t="s">
        <v>1</v>
      </c>
      <c r="E2" s="4" t="s">
        <v>2</v>
      </c>
      <c r="F2" s="4" t="s">
        <v>3</v>
      </c>
      <c r="G2" s="8" t="s">
        <v>36</v>
      </c>
      <c r="H2" s="7" t="s">
        <v>37</v>
      </c>
      <c r="I2" s="4" t="s">
        <v>138</v>
      </c>
      <c r="J2" s="4" t="s">
        <v>140</v>
      </c>
    </row>
    <row r="3" spans="1:10" ht="19.5" customHeight="1">
      <c r="A3" s="3">
        <v>1</v>
      </c>
      <c r="B3" s="1" t="s">
        <v>4</v>
      </c>
      <c r="C3" s="1">
        <v>0.5243215922215747</v>
      </c>
      <c r="D3" s="4">
        <v>0.4756784077784253</v>
      </c>
      <c r="E3" s="4">
        <v>0.07347072307025675</v>
      </c>
      <c r="F3" s="4">
        <v>0.2868770903583339</v>
      </c>
      <c r="G3" s="4">
        <v>0.006628987859893673</v>
      </c>
      <c r="H3" s="4">
        <v>0.0031532663903767336</v>
      </c>
      <c r="I3" s="1">
        <f>J3/J$35</f>
        <v>0.011916219287301006</v>
      </c>
      <c r="J3" s="3">
        <v>2701758</v>
      </c>
    </row>
    <row r="4" spans="1:10" ht="19.5" customHeight="1">
      <c r="A4" s="3">
        <v>2</v>
      </c>
      <c r="B4" s="1" t="s">
        <v>5</v>
      </c>
      <c r="C4" s="1">
        <v>0.4766194298139341</v>
      </c>
      <c r="D4" s="4">
        <v>0.523380570186066</v>
      </c>
      <c r="E4" s="4">
        <v>0.18745221689269959</v>
      </c>
      <c r="F4" s="4">
        <v>0.4686526932875853</v>
      </c>
      <c r="G4" s="4">
        <v>0.0003035922941330001</v>
      </c>
      <c r="H4" s="4">
        <v>0.00015889430800742547</v>
      </c>
      <c r="I4" s="1">
        <f aca="true" t="shared" si="0" ref="I4:I34">J4/J$35</f>
        <v>3.9253830897134E-07</v>
      </c>
      <c r="J4" s="3">
        <v>89</v>
      </c>
    </row>
    <row r="5" spans="1:10" ht="19.5" customHeight="1">
      <c r="A5" s="3">
        <v>3</v>
      </c>
      <c r="B5" s="1" t="s">
        <v>6</v>
      </c>
      <c r="C5" s="1">
        <v>0.6230102325907624</v>
      </c>
      <c r="D5" s="4">
        <v>0.37698976740923756</v>
      </c>
      <c r="E5" s="4">
        <v>0.1164797023490682</v>
      </c>
      <c r="F5" s="4">
        <v>0.24313439297966113</v>
      </c>
      <c r="G5" s="4">
        <v>0.029381083464076876</v>
      </c>
      <c r="H5" s="4">
        <v>0.011076367821353737</v>
      </c>
      <c r="I5" s="1">
        <f t="shared" si="0"/>
        <v>0.10312319224255385</v>
      </c>
      <c r="J5" s="3">
        <v>23381066</v>
      </c>
    </row>
    <row r="6" spans="1:10" ht="19.5" customHeight="1">
      <c r="A6" s="3">
        <v>4</v>
      </c>
      <c r="B6" s="1" t="s">
        <v>7</v>
      </c>
      <c r="C6" s="1">
        <v>0.6624727198133572</v>
      </c>
      <c r="D6" s="4">
        <v>0.3375272801866427</v>
      </c>
      <c r="E6" s="4">
        <v>0.21874342344195982</v>
      </c>
      <c r="F6" s="4">
        <v>0.10930012404520482</v>
      </c>
      <c r="G6" s="4">
        <v>0.004062359888384483</v>
      </c>
      <c r="H6" s="4">
        <v>0.001371157284265728</v>
      </c>
      <c r="I6" s="1">
        <f t="shared" si="0"/>
        <v>0.03312090497916453</v>
      </c>
      <c r="J6" s="3">
        <v>7509485</v>
      </c>
    </row>
    <row r="7" spans="1:10" ht="19.5" customHeight="1">
      <c r="A7" s="3">
        <v>5</v>
      </c>
      <c r="B7" s="1" t="s">
        <v>8</v>
      </c>
      <c r="C7" s="1">
        <v>0.6766454553621607</v>
      </c>
      <c r="D7" s="4">
        <v>0.3233545446378394</v>
      </c>
      <c r="E7" s="4">
        <v>0.18707861885523255</v>
      </c>
      <c r="F7" s="4">
        <v>0.3010008373422826</v>
      </c>
      <c r="G7" s="4">
        <v>0.00430300114186972</v>
      </c>
      <c r="H7" s="4">
        <v>0.0013913949748053862</v>
      </c>
      <c r="I7" s="1">
        <f t="shared" si="0"/>
        <v>0.004531338743566821</v>
      </c>
      <c r="J7" s="3">
        <v>1027388</v>
      </c>
    </row>
    <row r="8" spans="1:10" ht="19.5" customHeight="1">
      <c r="A8" s="3">
        <v>6</v>
      </c>
      <c r="B8" s="1" t="s">
        <v>9</v>
      </c>
      <c r="C8" s="1">
        <v>0.6649081783417772</v>
      </c>
      <c r="D8" s="4">
        <v>0.3350918216582228</v>
      </c>
      <c r="E8" s="4">
        <v>0.14516008903899402</v>
      </c>
      <c r="F8" s="4">
        <v>0.21155203294000913</v>
      </c>
      <c r="G8" s="4">
        <v>0.004941554953047897</v>
      </c>
      <c r="H8" s="4">
        <v>0.0016558746510410335</v>
      </c>
      <c r="I8" s="1">
        <f t="shared" si="0"/>
        <v>0.010076952372087609</v>
      </c>
      <c r="J8" s="3">
        <v>2284742</v>
      </c>
    </row>
    <row r="9" spans="1:10" ht="19.5" customHeight="1">
      <c r="A9" s="3">
        <v>7</v>
      </c>
      <c r="B9" s="1" t="s">
        <v>10</v>
      </c>
      <c r="C9" s="1">
        <v>0.6859857323824996</v>
      </c>
      <c r="D9" s="4">
        <v>0.3140142676175004</v>
      </c>
      <c r="E9" s="4">
        <v>0.11838396189726552</v>
      </c>
      <c r="F9" s="4">
        <v>0.013269439023823111</v>
      </c>
      <c r="G9" s="4">
        <v>0.00025170299120923527</v>
      </c>
      <c r="H9" s="4">
        <v>7.903833044170214E-05</v>
      </c>
      <c r="I9" s="1">
        <f t="shared" si="0"/>
        <v>0.01181513405692669</v>
      </c>
      <c r="J9" s="3">
        <v>2678839</v>
      </c>
    </row>
    <row r="10" spans="1:10" ht="19.5" customHeight="1">
      <c r="A10" s="3">
        <v>8</v>
      </c>
      <c r="B10" s="1" t="s">
        <v>11</v>
      </c>
      <c r="C10" s="1">
        <v>0.6677351581118359</v>
      </c>
      <c r="D10" s="4">
        <v>0.332264841888164</v>
      </c>
      <c r="E10" s="4">
        <v>0.19070301588086258</v>
      </c>
      <c r="F10" s="4">
        <v>0.18216706468556437</v>
      </c>
      <c r="G10" s="4">
        <v>0.0008198090501734232</v>
      </c>
      <c r="H10" s="4">
        <v>0.00027239372443435837</v>
      </c>
      <c r="I10" s="1">
        <f t="shared" si="0"/>
        <v>0.0017377891465301092</v>
      </c>
      <c r="J10" s="3">
        <v>394008</v>
      </c>
    </row>
    <row r="11" spans="1:10" ht="19.5" customHeight="1">
      <c r="A11" s="3">
        <v>9</v>
      </c>
      <c r="B11" s="1" t="s">
        <v>12</v>
      </c>
      <c r="C11" s="1">
        <v>0.6635782877071889</v>
      </c>
      <c r="D11" s="4">
        <v>0.3364217122928111</v>
      </c>
      <c r="E11" s="4">
        <v>0.1795134345511742</v>
      </c>
      <c r="F11" s="4">
        <v>0.008981554204886492</v>
      </c>
      <c r="G11" s="4">
        <v>2.267743224016775E-05</v>
      </c>
      <c r="H11" s="4">
        <v>7.629180584641435E-06</v>
      </c>
      <c r="I11" s="1">
        <f t="shared" si="0"/>
        <v>8.821085594861573E-08</v>
      </c>
      <c r="J11" s="3">
        <v>20</v>
      </c>
    </row>
    <row r="12" spans="1:10" ht="19.5" customHeight="1">
      <c r="A12" s="3">
        <v>10</v>
      </c>
      <c r="B12" s="1" t="s">
        <v>13</v>
      </c>
      <c r="C12" s="1">
        <v>0.6639831974683754</v>
      </c>
      <c r="D12" s="4">
        <v>0.33601680253162464</v>
      </c>
      <c r="E12" s="4">
        <v>0.1559499205924724</v>
      </c>
      <c r="F12" s="4">
        <v>0.04141373447056722</v>
      </c>
      <c r="G12" s="4">
        <v>9.126242564772108E-05</v>
      </c>
      <c r="H12" s="4">
        <v>3.066570845742737E-05</v>
      </c>
      <c r="I12" s="1">
        <f t="shared" si="0"/>
        <v>0.0006382231849594246</v>
      </c>
      <c r="J12" s="3">
        <v>144704</v>
      </c>
    </row>
    <row r="13" spans="1:10" ht="19.5" customHeight="1">
      <c r="A13" s="3">
        <v>11</v>
      </c>
      <c r="B13" s="1" t="s">
        <v>14</v>
      </c>
      <c r="C13" s="1">
        <v>0.6425756054284346</v>
      </c>
      <c r="D13" s="4">
        <v>0.3574243945715654</v>
      </c>
      <c r="E13" s="4">
        <v>0.21484805235740473</v>
      </c>
      <c r="F13" s="4">
        <v>0.30233507719789626</v>
      </c>
      <c r="G13" s="4">
        <v>0.0017368625912596654</v>
      </c>
      <c r="H13" s="4">
        <v>0.0006207970601349862</v>
      </c>
      <c r="I13" s="1">
        <f t="shared" si="0"/>
        <v>0.0018236756464244791</v>
      </c>
      <c r="J13" s="3">
        <v>413481</v>
      </c>
    </row>
    <row r="14" spans="1:10" ht="19.5" customHeight="1">
      <c r="A14" s="3">
        <v>12</v>
      </c>
      <c r="B14" s="1" t="s">
        <v>15</v>
      </c>
      <c r="C14" s="1">
        <v>0.6403517195503068</v>
      </c>
      <c r="D14" s="4">
        <v>0.3596482804496932</v>
      </c>
      <c r="E14" s="4">
        <v>0.19502152009662999</v>
      </c>
      <c r="F14" s="4">
        <v>0.08852431218751107</v>
      </c>
      <c r="G14" s="4">
        <v>0.000224706822866852</v>
      </c>
      <c r="H14" s="4">
        <v>8.081542244937712E-05</v>
      </c>
      <c r="I14" s="1">
        <f t="shared" si="0"/>
        <v>0.0004848994856923381</v>
      </c>
      <c r="J14" s="3">
        <v>109941</v>
      </c>
    </row>
    <row r="15" spans="1:10" ht="19.5" customHeight="1">
      <c r="A15" s="3">
        <v>13</v>
      </c>
      <c r="B15" s="1" t="s">
        <v>16</v>
      </c>
      <c r="C15" s="1">
        <v>0.6558355187474494</v>
      </c>
      <c r="D15" s="4">
        <v>0.34416448125255056</v>
      </c>
      <c r="E15" s="4">
        <v>0.14800486012805766</v>
      </c>
      <c r="F15" s="4">
        <v>0.6335489612043329</v>
      </c>
      <c r="G15" s="4">
        <v>0.022458112672308846</v>
      </c>
      <c r="H15" s="4">
        <v>0.007729284697776506</v>
      </c>
      <c r="I15" s="1">
        <f t="shared" si="0"/>
        <v>0.02600048499210709</v>
      </c>
      <c r="J15" s="3">
        <v>5895076</v>
      </c>
    </row>
    <row r="16" spans="1:10" ht="19.5" customHeight="1">
      <c r="A16" s="3">
        <v>14</v>
      </c>
      <c r="B16" s="1" t="s">
        <v>17</v>
      </c>
      <c r="C16" s="1">
        <v>0.7108399338719812</v>
      </c>
      <c r="D16" s="4">
        <v>0.28916006612801876</v>
      </c>
      <c r="E16" s="4">
        <v>0.174749675070236</v>
      </c>
      <c r="F16" s="4">
        <v>0.32257951244459165</v>
      </c>
      <c r="G16" s="4">
        <v>0.010329215549098091</v>
      </c>
      <c r="H16" s="4">
        <v>0.002986796651227764</v>
      </c>
      <c r="I16" s="1">
        <f t="shared" si="0"/>
        <v>0.023986472371259487</v>
      </c>
      <c r="J16" s="3">
        <v>5438440</v>
      </c>
    </row>
    <row r="17" spans="1:10" ht="19.5" customHeight="1">
      <c r="A17" s="3">
        <v>15</v>
      </c>
      <c r="B17" s="1" t="s">
        <v>18</v>
      </c>
      <c r="C17" s="1">
        <v>0.5900521017530198</v>
      </c>
      <c r="D17" s="4">
        <v>0.4099478982469803</v>
      </c>
      <c r="E17" s="4">
        <v>0.21315450443325135</v>
      </c>
      <c r="F17" s="4">
        <v>0.1001643601573771</v>
      </c>
      <c r="G17" s="4">
        <v>0.0005566204838064271</v>
      </c>
      <c r="H17" s="4">
        <v>0.00022818539745766213</v>
      </c>
      <c r="I17" s="1">
        <f t="shared" si="0"/>
        <v>0.004774077376966222</v>
      </c>
      <c r="J17" s="3">
        <v>1082424</v>
      </c>
    </row>
    <row r="18" spans="1:10" ht="19.5" customHeight="1">
      <c r="A18" s="3">
        <v>16</v>
      </c>
      <c r="B18" s="1" t="s">
        <v>19</v>
      </c>
      <c r="C18" s="1">
        <v>0.5880452281066401</v>
      </c>
      <c r="D18" s="4">
        <v>0.41195477189335994</v>
      </c>
      <c r="E18" s="4">
        <v>0.24105924554574037</v>
      </c>
      <c r="F18" s="4">
        <v>0.27293445119942333</v>
      </c>
      <c r="G18" s="4">
        <v>0.012496870949093335</v>
      </c>
      <c r="H18" s="4">
        <v>0.005148145621214502</v>
      </c>
      <c r="I18" s="1">
        <f t="shared" si="0"/>
        <v>0.02296397182398831</v>
      </c>
      <c r="J18" s="3">
        <v>5206609</v>
      </c>
    </row>
    <row r="19" spans="1:10" ht="19.5" customHeight="1">
      <c r="A19" s="3">
        <v>17</v>
      </c>
      <c r="B19" s="1" t="s">
        <v>20</v>
      </c>
      <c r="C19" s="1">
        <v>0.5437569793528984</v>
      </c>
      <c r="D19" s="4">
        <v>0.45624302064710154</v>
      </c>
      <c r="E19" s="4">
        <v>0.26947565404485724</v>
      </c>
      <c r="F19" s="4">
        <v>1</v>
      </c>
      <c r="G19" s="4">
        <v>0.014910923589233108</v>
      </c>
      <c r="H19" s="4">
        <v>0.006803004818989834</v>
      </c>
      <c r="I19" s="1">
        <f t="shared" si="0"/>
        <v>0</v>
      </c>
      <c r="J19" s="3">
        <v>0</v>
      </c>
    </row>
    <row r="20" spans="1:10" ht="19.5" customHeight="1">
      <c r="A20" s="3">
        <v>18</v>
      </c>
      <c r="B20" s="1" t="s">
        <v>21</v>
      </c>
      <c r="C20" s="1">
        <v>0.3753398527399773</v>
      </c>
      <c r="D20" s="4">
        <v>0.6246601472600227</v>
      </c>
      <c r="E20" s="4">
        <v>0.12990233982550484</v>
      </c>
      <c r="F20" s="4">
        <v>0.9997707281888601</v>
      </c>
      <c r="G20" s="4">
        <v>0.04704754004384973</v>
      </c>
      <c r="H20" s="4">
        <v>0.029388723292012985</v>
      </c>
      <c r="I20" s="1">
        <f t="shared" si="0"/>
        <v>0.03563343684186294</v>
      </c>
      <c r="J20" s="3">
        <v>8079150</v>
      </c>
    </row>
    <row r="21" spans="1:10" ht="19.5" customHeight="1">
      <c r="A21" s="3">
        <v>19</v>
      </c>
      <c r="B21" s="1" t="s">
        <v>22</v>
      </c>
      <c r="C21" s="1">
        <v>0.3231506073961905</v>
      </c>
      <c r="D21" s="4">
        <v>0.6768493926038095</v>
      </c>
      <c r="E21" s="4">
        <v>0.40650977466680005</v>
      </c>
      <c r="F21" s="4">
        <v>1</v>
      </c>
      <c r="G21" s="4">
        <v>0.011172133494633139</v>
      </c>
      <c r="H21" s="4">
        <v>0.007561851769931117</v>
      </c>
      <c r="I21" s="1">
        <f t="shared" si="0"/>
        <v>0.00743004009143708</v>
      </c>
      <c r="J21" s="3">
        <v>1684609</v>
      </c>
    </row>
    <row r="22" spans="1:10" ht="19.5" customHeight="1">
      <c r="A22" s="3">
        <v>20</v>
      </c>
      <c r="B22" s="1" t="s">
        <v>23</v>
      </c>
      <c r="C22" s="1">
        <v>0.32498189773062686</v>
      </c>
      <c r="D22" s="4">
        <v>0.6750181022693731</v>
      </c>
      <c r="E22" s="4">
        <v>0.3997849191623917</v>
      </c>
      <c r="F22" s="4">
        <v>0.9849915015239481</v>
      </c>
      <c r="G22" s="4">
        <v>0.1658909343761149</v>
      </c>
      <c r="H22" s="4">
        <v>0.11197938370625819</v>
      </c>
      <c r="I22" s="1">
        <f t="shared" si="0"/>
        <v>0.14677896537866364</v>
      </c>
      <c r="J22" s="3">
        <v>33279116</v>
      </c>
    </row>
    <row r="23" spans="1:10" ht="19.5" customHeight="1">
      <c r="A23" s="3">
        <v>21</v>
      </c>
      <c r="B23" s="1" t="s">
        <v>24</v>
      </c>
      <c r="C23" s="1">
        <v>0.3334056357290638</v>
      </c>
      <c r="D23" s="4">
        <v>0.6665943642709363</v>
      </c>
      <c r="E23" s="4">
        <v>0.4354030920386338</v>
      </c>
      <c r="F23" s="4">
        <v>0.9904376999970009</v>
      </c>
      <c r="G23" s="4">
        <v>0.07891527217258001</v>
      </c>
      <c r="H23" s="4">
        <v>0.05260447568514888</v>
      </c>
      <c r="I23" s="1">
        <f t="shared" si="0"/>
        <v>0.03527001693644024</v>
      </c>
      <c r="J23" s="3">
        <v>7996752</v>
      </c>
    </row>
    <row r="24" spans="1:10" ht="19.5" customHeight="1">
      <c r="A24" s="3">
        <v>22</v>
      </c>
      <c r="B24" s="1" t="s">
        <v>25</v>
      </c>
      <c r="C24" s="1">
        <v>0.15694458359991728</v>
      </c>
      <c r="D24" s="4">
        <v>0.8430554164000826</v>
      </c>
      <c r="E24" s="4">
        <v>0.032401764159198834</v>
      </c>
      <c r="F24" s="4">
        <v>1</v>
      </c>
      <c r="G24" s="4">
        <v>0.20346770172621909</v>
      </c>
      <c r="H24" s="4">
        <v>0.17153454800276544</v>
      </c>
      <c r="I24" s="1">
        <f t="shared" si="0"/>
        <v>0.19460452742306367</v>
      </c>
      <c r="J24" s="3">
        <v>44122580</v>
      </c>
    </row>
    <row r="25" spans="1:10" ht="19.5" customHeight="1">
      <c r="A25" s="3">
        <v>23</v>
      </c>
      <c r="B25" s="1" t="s">
        <v>26</v>
      </c>
      <c r="C25" s="1">
        <v>0.33364065876091065</v>
      </c>
      <c r="D25" s="4">
        <v>0.6663593412390894</v>
      </c>
      <c r="E25" s="4">
        <v>0.45719117377295243</v>
      </c>
      <c r="F25" s="4">
        <v>0.8156137630919676</v>
      </c>
      <c r="G25" s="4">
        <v>0.05420135679064067</v>
      </c>
      <c r="H25" s="4">
        <v>0.036117580405276156</v>
      </c>
      <c r="I25" s="1">
        <f t="shared" si="0"/>
        <v>0.04713574432979625</v>
      </c>
      <c r="J25" s="3">
        <v>10687062</v>
      </c>
    </row>
    <row r="26" spans="1:10" ht="19.5" customHeight="1">
      <c r="A26" s="3">
        <v>24</v>
      </c>
      <c r="B26" s="1" t="s">
        <v>27</v>
      </c>
      <c r="C26" s="1">
        <v>0.24773020821936725</v>
      </c>
      <c r="D26" s="4">
        <v>0.7522697917806328</v>
      </c>
      <c r="E26" s="4">
        <v>0.386608771073396</v>
      </c>
      <c r="F26" s="4">
        <v>0.9501027636814378</v>
      </c>
      <c r="G26" s="4">
        <v>0.053065132690011174</v>
      </c>
      <c r="H26" s="4">
        <v>0.03991929631952635</v>
      </c>
      <c r="I26" s="1">
        <f t="shared" si="0"/>
        <v>0.04054198284763723</v>
      </c>
      <c r="J26" s="3">
        <v>9192062</v>
      </c>
    </row>
    <row r="27" spans="1:10" ht="19.5" customHeight="1">
      <c r="A27" s="3">
        <v>25</v>
      </c>
      <c r="B27" s="1" t="s">
        <v>28</v>
      </c>
      <c r="C27" s="1">
        <v>0.2938337721572824</v>
      </c>
      <c r="D27" s="4">
        <v>0.7061662278427175</v>
      </c>
      <c r="E27" s="4">
        <v>0.6616376066904502</v>
      </c>
      <c r="F27" s="4">
        <v>1</v>
      </c>
      <c r="G27" s="4">
        <v>0.004593862872949481</v>
      </c>
      <c r="H27" s="4">
        <v>0.003244030816217444</v>
      </c>
      <c r="I27" s="1">
        <f t="shared" si="0"/>
        <v>0.003425161378342787</v>
      </c>
      <c r="J27" s="3">
        <v>776585</v>
      </c>
    </row>
    <row r="28" spans="1:10" ht="19.5" customHeight="1">
      <c r="A28" s="3">
        <v>26</v>
      </c>
      <c r="B28" s="1" t="s">
        <v>29</v>
      </c>
      <c r="C28" s="1">
        <v>0.3774885197861283</v>
      </c>
      <c r="D28" s="4">
        <v>0.6225114802138717</v>
      </c>
      <c r="E28" s="4">
        <v>0.5570305056264456</v>
      </c>
      <c r="F28" s="4">
        <v>0.8347856060095615</v>
      </c>
      <c r="G28" s="4">
        <v>0.03373124714503016</v>
      </c>
      <c r="H28" s="4">
        <v>0.02099808858971266</v>
      </c>
      <c r="I28" s="1">
        <f t="shared" si="0"/>
        <v>0.034582113397410554</v>
      </c>
      <c r="J28" s="3">
        <v>7840784</v>
      </c>
    </row>
    <row r="29" spans="1:10" ht="19.5" customHeight="1">
      <c r="A29" s="3">
        <v>27</v>
      </c>
      <c r="B29" s="1" t="s">
        <v>30</v>
      </c>
      <c r="C29" s="1">
        <v>0.42242416990226783</v>
      </c>
      <c r="D29" s="4">
        <v>0.5775758300977322</v>
      </c>
      <c r="E29" s="4">
        <v>0.4364793867052</v>
      </c>
      <c r="F29" s="4">
        <v>0.9576390638065366</v>
      </c>
      <c r="G29" s="4">
        <v>0.03980811162006418</v>
      </c>
      <c r="H29" s="4">
        <v>0.022992203113581747</v>
      </c>
      <c r="I29" s="1">
        <f t="shared" si="0"/>
        <v>0.040329266779059944</v>
      </c>
      <c r="J29" s="3">
        <v>9143833</v>
      </c>
    </row>
    <row r="30" spans="1:10" ht="19.5" customHeight="1">
      <c r="A30" s="3">
        <v>28</v>
      </c>
      <c r="B30" s="1" t="s">
        <v>31</v>
      </c>
      <c r="C30" s="1">
        <v>0.39292453975591035</v>
      </c>
      <c r="D30" s="4">
        <v>0.6070754602440896</v>
      </c>
      <c r="E30" s="4">
        <v>0.49116025591126816</v>
      </c>
      <c r="F30" s="4">
        <v>0.9384746781636903</v>
      </c>
      <c r="G30" s="4">
        <v>0.025301047288100686</v>
      </c>
      <c r="H30" s="4">
        <v>0.015359644927081199</v>
      </c>
      <c r="I30" s="1">
        <f t="shared" si="0"/>
        <v>0.025427039449213533</v>
      </c>
      <c r="J30" s="3">
        <v>5765059</v>
      </c>
    </row>
    <row r="31" spans="1:10" ht="19.5" customHeight="1">
      <c r="A31" s="3">
        <v>29</v>
      </c>
      <c r="B31" s="1" t="s">
        <v>32</v>
      </c>
      <c r="C31" s="1">
        <v>0.392197236194746</v>
      </c>
      <c r="D31" s="4">
        <v>0.6078027638052539</v>
      </c>
      <c r="E31" s="4">
        <v>0.3306917922130232</v>
      </c>
      <c r="F31" s="4">
        <v>0.8240302529793866</v>
      </c>
      <c r="G31" s="4">
        <v>0.07838244043475395</v>
      </c>
      <c r="H31" s="4">
        <v>0.047641063930044136</v>
      </c>
      <c r="I31" s="1">
        <f t="shared" si="0"/>
        <v>0.026661329851074538</v>
      </c>
      <c r="J31" s="3">
        <v>6044909</v>
      </c>
    </row>
    <row r="32" spans="1:10" ht="19.5" customHeight="1">
      <c r="A32" s="3">
        <v>30</v>
      </c>
      <c r="B32" s="1" t="s">
        <v>33</v>
      </c>
      <c r="C32" s="1">
        <v>0.41394486985611223</v>
      </c>
      <c r="D32" s="4">
        <v>0.5860551301438878</v>
      </c>
      <c r="E32" s="4">
        <v>0.2960692537577882</v>
      </c>
      <c r="F32" s="4">
        <v>0.787491280224567</v>
      </c>
      <c r="G32" s="4">
        <v>0.08665137814121557</v>
      </c>
      <c r="H32" s="4">
        <v>0.05078248469369732</v>
      </c>
      <c r="I32" s="1">
        <f t="shared" si="0"/>
        <v>0.10509336847853779</v>
      </c>
      <c r="J32" s="3">
        <v>23827763</v>
      </c>
    </row>
    <row r="33" spans="1:10" ht="19.5" customHeight="1">
      <c r="A33" s="3">
        <v>31</v>
      </c>
      <c r="B33" s="1" t="s">
        <v>34</v>
      </c>
      <c r="C33" s="1">
        <v>1</v>
      </c>
      <c r="D33" s="4">
        <v>0</v>
      </c>
      <c r="E33" s="4">
        <v>0</v>
      </c>
      <c r="F33" s="4">
        <v>1</v>
      </c>
      <c r="G33" s="4">
        <v>0.002262157023789711</v>
      </c>
      <c r="H33" s="4">
        <v>0</v>
      </c>
      <c r="I33" s="1">
        <f t="shared" si="0"/>
        <v>0</v>
      </c>
      <c r="J33" s="3">
        <v>0</v>
      </c>
    </row>
    <row r="34" spans="1:10" ht="19.5" customHeight="1">
      <c r="A34" s="3">
        <v>32</v>
      </c>
      <c r="B34" s="1" t="s">
        <v>35</v>
      </c>
      <c r="C34" s="1">
        <v>0.7161044462818978</v>
      </c>
      <c r="D34" s="4">
        <v>0.2838955537181021</v>
      </c>
      <c r="E34" s="4">
        <v>0.1296098236975989</v>
      </c>
      <c r="F34" s="4">
        <v>0.8524318120385256</v>
      </c>
      <c r="G34" s="4">
        <v>0.005296423707429927</v>
      </c>
      <c r="H34" s="4">
        <v>0.0015036311411465025</v>
      </c>
      <c r="I34" s="1">
        <f t="shared" si="0"/>
        <v>9.318594822411766E-05</v>
      </c>
      <c r="J34" s="3">
        <v>21128</v>
      </c>
    </row>
    <row r="35" ht="19.5" customHeight="1">
      <c r="J35" s="3">
        <v>226729463</v>
      </c>
    </row>
    <row r="36" ht="19.5" customHeight="1">
      <c r="J36" s="3"/>
    </row>
    <row r="37" ht="19.5" customHeight="1">
      <c r="J37" s="3"/>
    </row>
    <row r="38" ht="19.5" customHeight="1">
      <c r="J38" s="3"/>
    </row>
    <row r="39" ht="19.5" customHeight="1">
      <c r="J39" s="3"/>
    </row>
    <row r="40" ht="19.5" customHeight="1">
      <c r="J40" s="3"/>
    </row>
    <row r="41" ht="19.5" customHeight="1">
      <c r="J41" s="3"/>
    </row>
    <row r="42" ht="19.5" customHeight="1">
      <c r="J42" s="3"/>
    </row>
    <row r="43" ht="19.5" customHeight="1">
      <c r="J43" s="3"/>
    </row>
    <row r="44" ht="19.5" customHeight="1">
      <c r="J44" s="3"/>
    </row>
    <row r="45" ht="19.5" customHeight="1">
      <c r="J45" s="3"/>
    </row>
    <row r="46" ht="19.5" customHeight="1">
      <c r="J46" s="3"/>
    </row>
    <row r="47" ht="19.5" customHeight="1">
      <c r="J47" s="3"/>
    </row>
    <row r="48" ht="19.5" customHeight="1">
      <c r="J48" s="3"/>
    </row>
    <row r="49" ht="19.5" customHeight="1">
      <c r="J49" s="3"/>
    </row>
    <row r="50" ht="19.5" customHeight="1">
      <c r="J50" s="3"/>
    </row>
    <row r="51" ht="19.5" customHeight="1">
      <c r="J51" s="3"/>
    </row>
    <row r="52" ht="19.5" customHeight="1">
      <c r="J52" s="3"/>
    </row>
    <row r="53" ht="19.5" customHeight="1">
      <c r="J53" s="3"/>
    </row>
    <row r="54" ht="19.5" customHeight="1">
      <c r="J54" s="3"/>
    </row>
    <row r="55" ht="19.5" customHeight="1">
      <c r="J55" s="3"/>
    </row>
    <row r="56" ht="19.5" customHeight="1">
      <c r="J56" s="3"/>
    </row>
    <row r="57" ht="19.5" customHeight="1">
      <c r="J57" s="3"/>
    </row>
    <row r="58" ht="19.5" customHeight="1">
      <c r="J58" s="3"/>
    </row>
    <row r="59" ht="19.5" customHeight="1">
      <c r="J59" s="3"/>
    </row>
    <row r="60" ht="19.5" customHeight="1">
      <c r="J60" s="3"/>
    </row>
    <row r="61" ht="19.5" customHeight="1">
      <c r="J61" s="3"/>
    </row>
    <row r="62" ht="19.5" customHeight="1">
      <c r="J62" s="3"/>
    </row>
    <row r="63" ht="19.5" customHeight="1">
      <c r="J63" s="3"/>
    </row>
    <row r="64" ht="19.5" customHeight="1">
      <c r="J64" s="3"/>
    </row>
    <row r="65" ht="19.5" customHeight="1">
      <c r="J65" s="3"/>
    </row>
    <row r="66" ht="19.5" customHeight="1">
      <c r="J66" s="3"/>
    </row>
    <row r="67" ht="19.5" customHeight="1">
      <c r="J67" s="3"/>
    </row>
    <row r="68" ht="19.5" customHeight="1">
      <c r="J68" s="3"/>
    </row>
    <row r="69" ht="19.5" customHeight="1">
      <c r="J69" s="3"/>
    </row>
    <row r="70" ht="19.5" customHeight="1">
      <c r="J70" s="3"/>
    </row>
    <row r="71" ht="19.5" customHeight="1">
      <c r="J71" s="3"/>
    </row>
    <row r="72" ht="19.5" customHeight="1">
      <c r="J72" s="3"/>
    </row>
    <row r="73" ht="19.5" customHeight="1">
      <c r="J73" s="3"/>
    </row>
    <row r="74" ht="19.5" customHeight="1">
      <c r="J74" s="3"/>
    </row>
    <row r="75" ht="19.5" customHeight="1">
      <c r="J75" s="3"/>
    </row>
    <row r="76" ht="19.5" customHeight="1">
      <c r="J76" s="3"/>
    </row>
    <row r="77" ht="19.5" customHeight="1">
      <c r="J77" s="3"/>
    </row>
    <row r="78" ht="19.5" customHeight="1">
      <c r="J78" s="3"/>
    </row>
    <row r="79" ht="19.5" customHeight="1">
      <c r="J79" s="3"/>
    </row>
    <row r="80" ht="19.5" customHeight="1">
      <c r="J80" s="3"/>
    </row>
    <row r="81" ht="19.5" customHeight="1">
      <c r="J81" s="3"/>
    </row>
    <row r="82" ht="19.5" customHeight="1">
      <c r="J82" s="3"/>
    </row>
    <row r="83" ht="19.5" customHeight="1">
      <c r="J83" s="3"/>
    </row>
    <row r="84" ht="19.5" customHeight="1">
      <c r="J84" s="3"/>
    </row>
    <row r="85" ht="19.5" customHeight="1">
      <c r="J85" s="3"/>
    </row>
    <row r="86" ht="19.5" customHeight="1">
      <c r="J86" s="3"/>
    </row>
    <row r="87" ht="19.5" customHeight="1">
      <c r="J87" s="3"/>
    </row>
    <row r="88" ht="19.5" customHeight="1">
      <c r="J88" s="3"/>
    </row>
    <row r="89" ht="19.5" customHeight="1">
      <c r="J89" s="3"/>
    </row>
    <row r="90" ht="19.5" customHeight="1">
      <c r="J90" s="3"/>
    </row>
    <row r="91" ht="19.5" customHeight="1">
      <c r="J91" s="3"/>
    </row>
    <row r="92" ht="19.5" customHeight="1">
      <c r="J92" s="3"/>
    </row>
    <row r="93" ht="19.5" customHeight="1">
      <c r="J93" s="3"/>
    </row>
    <row r="94" ht="19.5" customHeight="1">
      <c r="J94" s="3"/>
    </row>
    <row r="95" ht="19.5" customHeight="1">
      <c r="J95" s="3"/>
    </row>
    <row r="96" ht="19.5" customHeight="1">
      <c r="J96" s="3"/>
    </row>
    <row r="97" ht="19.5" customHeight="1">
      <c r="J97" s="3"/>
    </row>
    <row r="98" ht="19.5" customHeight="1">
      <c r="J98" s="3"/>
    </row>
    <row r="99" ht="19.5" customHeight="1">
      <c r="J99" s="3"/>
    </row>
    <row r="100" ht="19.5" customHeight="1">
      <c r="J100" s="3">
        <f>SUM(J3:J99)</f>
        <v>453458925</v>
      </c>
    </row>
  </sheetData>
  <mergeCells count="2">
    <mergeCell ref="C1:F1"/>
    <mergeCell ref="G1:I1"/>
  </mergeCells>
  <printOptions verticalCentered="1"/>
  <pageMargins left="0.7874015748031497" right="0.7874015748031497" top="0.984251968503937" bottom="0.984251968503937" header="0.5118110236220472" footer="0.5118110236220472"/>
  <pageSetup fitToHeight="1" fitToWidth="1" horizontalDpi="300" verticalDpi="300" orientation="landscape" paperSize="12" scale="32" r:id="rId1"/>
  <headerFooter alignWithMargins="0">
    <oddHeader>&amp;LFILE=&amp;F,SHEET=&amp;A</oddHead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AI35"/>
  <sheetViews>
    <sheetView showGridLines="0" workbookViewId="0" topLeftCell="A1">
      <selection activeCell="A1" sqref="A1"/>
    </sheetView>
  </sheetViews>
  <sheetFormatPr defaultColWidth="8.796875" defaultRowHeight="19.5" customHeight="1"/>
  <cols>
    <col min="1" max="1" width="4.09765625" style="3" customWidth="1"/>
    <col min="2" max="2" width="19.09765625" style="1" customWidth="1"/>
    <col min="3" max="16384" width="10.59765625" style="1" customWidth="1"/>
  </cols>
  <sheetData>
    <row r="1" spans="3:35" s="6" customFormat="1" ht="21" customHeight="1">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c r="V1" s="6">
        <v>20</v>
      </c>
      <c r="W1" s="6">
        <v>21</v>
      </c>
      <c r="X1" s="6">
        <v>22</v>
      </c>
      <c r="Y1" s="6">
        <v>23</v>
      </c>
      <c r="Z1" s="6">
        <v>24</v>
      </c>
      <c r="AA1" s="6">
        <v>25</v>
      </c>
      <c r="AB1" s="6">
        <v>26</v>
      </c>
      <c r="AC1" s="6">
        <v>27</v>
      </c>
      <c r="AD1" s="6">
        <v>28</v>
      </c>
      <c r="AE1" s="6">
        <v>29</v>
      </c>
      <c r="AF1" s="6">
        <v>30</v>
      </c>
      <c r="AG1" s="6">
        <v>31</v>
      </c>
      <c r="AH1" s="6">
        <v>32</v>
      </c>
      <c r="AI1" s="6">
        <v>33</v>
      </c>
    </row>
    <row r="2" spans="1:35" s="4" customFormat="1" ht="27">
      <c r="A2" s="6"/>
      <c r="C2" s="4" t="s">
        <v>4</v>
      </c>
      <c r="D2" s="4" t="s">
        <v>5</v>
      </c>
      <c r="E2" s="4" t="s">
        <v>6</v>
      </c>
      <c r="F2" s="4" t="s">
        <v>7</v>
      </c>
      <c r="G2" s="8" t="s">
        <v>8</v>
      </c>
      <c r="H2" s="4" t="s">
        <v>9</v>
      </c>
      <c r="I2" s="4" t="s">
        <v>10</v>
      </c>
      <c r="J2" s="4" t="s">
        <v>11</v>
      </c>
      <c r="K2" s="4" t="s">
        <v>12</v>
      </c>
      <c r="L2" s="4" t="s">
        <v>13</v>
      </c>
      <c r="M2" s="4" t="s">
        <v>14</v>
      </c>
      <c r="N2" s="4" t="s">
        <v>15</v>
      </c>
      <c r="O2" s="4" t="s">
        <v>16</v>
      </c>
      <c r="P2" s="4" t="s">
        <v>17</v>
      </c>
      <c r="Q2" s="4" t="s">
        <v>18</v>
      </c>
      <c r="R2" s="4" t="s">
        <v>19</v>
      </c>
      <c r="S2" s="4" t="s">
        <v>20</v>
      </c>
      <c r="T2" s="4" t="s">
        <v>38</v>
      </c>
      <c r="U2" s="4" t="s">
        <v>22</v>
      </c>
      <c r="V2" s="4" t="s">
        <v>23</v>
      </c>
      <c r="W2" s="4" t="s">
        <v>24</v>
      </c>
      <c r="X2" s="4" t="s">
        <v>25</v>
      </c>
      <c r="Y2" s="4" t="s">
        <v>26</v>
      </c>
      <c r="Z2" s="4" t="s">
        <v>27</v>
      </c>
      <c r="AA2" s="4" t="s">
        <v>28</v>
      </c>
      <c r="AB2" s="4" t="s">
        <v>29</v>
      </c>
      <c r="AC2" s="4" t="s">
        <v>30</v>
      </c>
      <c r="AD2" s="4" t="s">
        <v>31</v>
      </c>
      <c r="AE2" s="4" t="s">
        <v>32</v>
      </c>
      <c r="AF2" s="4" t="s">
        <v>33</v>
      </c>
      <c r="AG2" s="4" t="s">
        <v>34</v>
      </c>
      <c r="AH2" s="4" t="s">
        <v>35</v>
      </c>
      <c r="AI2" s="4" t="s">
        <v>39</v>
      </c>
    </row>
    <row r="3" spans="1:35" ht="21" customHeight="1">
      <c r="A3" s="3">
        <v>1</v>
      </c>
      <c r="B3" s="1" t="s">
        <v>4</v>
      </c>
      <c r="C3" s="1">
        <v>0.12806282192319565</v>
      </c>
      <c r="D3" s="1">
        <v>3.9101323912832344E-05</v>
      </c>
      <c r="E3" s="1">
        <v>0.2537305236988049</v>
      </c>
      <c r="F3" s="1">
        <v>0.013713996047336419</v>
      </c>
      <c r="G3" s="1">
        <v>0.11943767204227031</v>
      </c>
      <c r="H3" s="1">
        <v>0.0034717297173253933</v>
      </c>
      <c r="I3" s="1">
        <v>0.000987812116231356</v>
      </c>
      <c r="J3" s="1">
        <v>0.00021735568228588967</v>
      </c>
      <c r="K3" s="1">
        <v>4.649871869356353E-06</v>
      </c>
      <c r="L3" s="1">
        <v>3.5632740824148277E-06</v>
      </c>
      <c r="M3" s="1">
        <v>0</v>
      </c>
      <c r="N3" s="1">
        <v>0</v>
      </c>
      <c r="O3" s="1">
        <v>0</v>
      </c>
      <c r="P3" s="1">
        <v>2.6013551765290653E-05</v>
      </c>
      <c r="Q3" s="1">
        <v>0</v>
      </c>
      <c r="R3" s="1">
        <v>0.00856905476844008</v>
      </c>
      <c r="S3" s="1">
        <v>0.0030331826090701144</v>
      </c>
      <c r="T3" s="1">
        <v>0</v>
      </c>
      <c r="U3" s="1">
        <v>0</v>
      </c>
      <c r="V3" s="1">
        <v>0.0001342903149430986</v>
      </c>
      <c r="W3" s="1">
        <v>0</v>
      </c>
      <c r="X3" s="1">
        <v>1.335113917038083E-06</v>
      </c>
      <c r="Y3" s="1">
        <v>0</v>
      </c>
      <c r="Z3" s="1">
        <v>0</v>
      </c>
      <c r="AA3" s="1">
        <v>7.996579693590026E-05</v>
      </c>
      <c r="AB3" s="1">
        <v>0.0016944916192422985</v>
      </c>
      <c r="AC3" s="1">
        <v>0.007294420409700021</v>
      </c>
      <c r="AD3" s="1">
        <v>0</v>
      </c>
      <c r="AE3" s="1">
        <v>2.1660259945199114E-05</v>
      </c>
      <c r="AF3" s="1">
        <v>0.02045140200484076</v>
      </c>
      <c r="AG3" s="1">
        <v>0</v>
      </c>
      <c r="AH3" s="1">
        <v>0.0006171222995400908</v>
      </c>
      <c r="AI3" s="1">
        <v>0.015406948200152601</v>
      </c>
    </row>
    <row r="4" spans="1:35" ht="21" customHeight="1">
      <c r="A4" s="3">
        <v>2</v>
      </c>
      <c r="B4" s="1" t="s">
        <v>5</v>
      </c>
      <c r="C4" s="1">
        <v>0</v>
      </c>
      <c r="D4" s="1">
        <v>0.0006288262091555496</v>
      </c>
      <c r="E4" s="1">
        <v>3.8061261776911817E-06</v>
      </c>
      <c r="F4" s="1">
        <v>1.5150402858010315E-05</v>
      </c>
      <c r="G4" s="1">
        <v>0.00044167496794240936</v>
      </c>
      <c r="H4" s="1">
        <v>0.0016012616926954313</v>
      </c>
      <c r="I4" s="1">
        <v>0.10340199875230427</v>
      </c>
      <c r="J4" s="1">
        <v>0.10907117579858928</v>
      </c>
      <c r="K4" s="1">
        <v>0.000981737816159867</v>
      </c>
      <c r="L4" s="1">
        <v>0.005799992127862078</v>
      </c>
      <c r="M4" s="1">
        <v>0.00016625590337152266</v>
      </c>
      <c r="N4" s="1">
        <v>1.2364551927927212E-05</v>
      </c>
      <c r="O4" s="1">
        <v>1.9569992891194434E-06</v>
      </c>
      <c r="P4" s="1">
        <v>2.366615987574849E-06</v>
      </c>
      <c r="Q4" s="1">
        <v>1.5721298580368967E-05</v>
      </c>
      <c r="R4" s="1">
        <v>0.0006130834647743245</v>
      </c>
      <c r="S4" s="1">
        <v>0.020334267254506964</v>
      </c>
      <c r="T4" s="1">
        <v>0.004151318323681834</v>
      </c>
      <c r="U4" s="1">
        <v>1.5630526153079633E-05</v>
      </c>
      <c r="V4" s="1">
        <v>0</v>
      </c>
      <c r="W4" s="1">
        <v>0</v>
      </c>
      <c r="X4" s="1">
        <v>0</v>
      </c>
      <c r="Y4" s="1">
        <v>1.7690048254285298E-06</v>
      </c>
      <c r="Z4" s="1">
        <v>0</v>
      </c>
      <c r="AA4" s="1">
        <v>3.6235983902151716E-05</v>
      </c>
      <c r="AB4" s="1">
        <v>0.0002922903356271958</v>
      </c>
      <c r="AC4" s="1">
        <v>1.7402306432399712E-06</v>
      </c>
      <c r="AD4" s="1">
        <v>0</v>
      </c>
      <c r="AE4" s="1">
        <v>1.9030528379701557E-06</v>
      </c>
      <c r="AF4" s="1">
        <v>3.3474599293772294E-05</v>
      </c>
      <c r="AG4" s="1">
        <v>0</v>
      </c>
      <c r="AH4" s="1">
        <v>0.00024060596095798071</v>
      </c>
      <c r="AI4" s="1">
        <v>0.0031050043634588942</v>
      </c>
    </row>
    <row r="5" spans="1:35" ht="21" customHeight="1">
      <c r="A5" s="3">
        <v>3</v>
      </c>
      <c r="B5" s="1" t="s">
        <v>6</v>
      </c>
      <c r="C5" s="1">
        <v>0.06889810790751177</v>
      </c>
      <c r="D5" s="1">
        <v>0</v>
      </c>
      <c r="E5" s="1">
        <v>0.1397919616958811</v>
      </c>
      <c r="F5" s="1">
        <v>0.00027910237947755326</v>
      </c>
      <c r="G5" s="1">
        <v>0.0004862476097364425</v>
      </c>
      <c r="H5" s="1">
        <v>0.008613310620785668</v>
      </c>
      <c r="I5" s="1">
        <v>0</v>
      </c>
      <c r="J5" s="1">
        <v>0.0005354278706960511</v>
      </c>
      <c r="K5" s="1">
        <v>8.469409476327645E-06</v>
      </c>
      <c r="L5" s="1">
        <v>0</v>
      </c>
      <c r="M5" s="1">
        <v>0</v>
      </c>
      <c r="N5" s="1">
        <v>0</v>
      </c>
      <c r="O5" s="1">
        <v>8.487795073426783E-07</v>
      </c>
      <c r="P5" s="1">
        <v>0</v>
      </c>
      <c r="Q5" s="1">
        <v>0</v>
      </c>
      <c r="R5" s="1">
        <v>3.9958280485198245E-05</v>
      </c>
      <c r="S5" s="1">
        <v>0</v>
      </c>
      <c r="T5" s="1">
        <v>0</v>
      </c>
      <c r="U5" s="1">
        <v>0</v>
      </c>
      <c r="V5" s="1">
        <v>0.00021509833348392588</v>
      </c>
      <c r="W5" s="1">
        <v>0</v>
      </c>
      <c r="X5" s="1">
        <v>0</v>
      </c>
      <c r="Y5" s="1">
        <v>0</v>
      </c>
      <c r="Z5" s="1">
        <v>0</v>
      </c>
      <c r="AA5" s="1">
        <v>0.0004004929948557188</v>
      </c>
      <c r="AB5" s="1">
        <v>0.0568735298121873</v>
      </c>
      <c r="AC5" s="1">
        <v>0.021363126438463036</v>
      </c>
      <c r="AD5" s="1">
        <v>0</v>
      </c>
      <c r="AE5" s="1">
        <v>0</v>
      </c>
      <c r="AF5" s="1">
        <v>0.11889807829562485</v>
      </c>
      <c r="AG5" s="1">
        <v>0</v>
      </c>
      <c r="AH5" s="1">
        <v>5.23477916669257E-06</v>
      </c>
      <c r="AI5" s="1">
        <v>0.016958713978519408</v>
      </c>
    </row>
    <row r="6" spans="1:35" ht="21" customHeight="1">
      <c r="A6" s="3">
        <v>4</v>
      </c>
      <c r="B6" s="1" t="s">
        <v>7</v>
      </c>
      <c r="C6" s="1">
        <v>0.011958393244817688</v>
      </c>
      <c r="D6" s="1">
        <v>0.0031742582953499313</v>
      </c>
      <c r="E6" s="1">
        <v>0.0009665050815709424</v>
      </c>
      <c r="F6" s="1">
        <v>0.2754377462983217</v>
      </c>
      <c r="G6" s="1">
        <v>0.009108998149398579</v>
      </c>
      <c r="H6" s="1">
        <v>0.0017363747340365606</v>
      </c>
      <c r="I6" s="1">
        <v>0.011180325346972183</v>
      </c>
      <c r="J6" s="1">
        <v>0.003607375679345392</v>
      </c>
      <c r="K6" s="1">
        <v>0.0006632192849835417</v>
      </c>
      <c r="L6" s="1">
        <v>0.0007228355995755794</v>
      </c>
      <c r="M6" s="1">
        <v>0.0014911636545525092</v>
      </c>
      <c r="N6" s="1">
        <v>0.0010092093393538042</v>
      </c>
      <c r="O6" s="1">
        <v>0.0017274943350045952</v>
      </c>
      <c r="P6" s="1">
        <v>0.000892844251561242</v>
      </c>
      <c r="Q6" s="1">
        <v>0.0029084402373682587</v>
      </c>
      <c r="R6" s="1">
        <v>0.007467929304844679</v>
      </c>
      <c r="S6" s="1">
        <v>0.002185290433004255</v>
      </c>
      <c r="T6" s="1">
        <v>0.001489677030009107</v>
      </c>
      <c r="U6" s="1">
        <v>0.0022300976900031274</v>
      </c>
      <c r="V6" s="1">
        <v>0.004484465677843757</v>
      </c>
      <c r="W6" s="1">
        <v>0.0013963125936776518</v>
      </c>
      <c r="X6" s="1">
        <v>1.7257773229905574E-05</v>
      </c>
      <c r="Y6" s="1">
        <v>0.0021823748155581496</v>
      </c>
      <c r="Z6" s="1">
        <v>0.0014191736450956322</v>
      </c>
      <c r="AA6" s="1">
        <v>0.003226947168521853</v>
      </c>
      <c r="AB6" s="1">
        <v>0.000781605662437949</v>
      </c>
      <c r="AC6" s="1">
        <v>0.004108040327439376</v>
      </c>
      <c r="AD6" s="1">
        <v>0.026000395449944418</v>
      </c>
      <c r="AE6" s="1">
        <v>0.0018821654294209971</v>
      </c>
      <c r="AF6" s="1">
        <v>0.004233311098396219</v>
      </c>
      <c r="AG6" s="1">
        <v>0.02281820792110796</v>
      </c>
      <c r="AH6" s="1">
        <v>0.0022280771179122596</v>
      </c>
      <c r="AI6" s="1">
        <v>0.010932471487791329</v>
      </c>
    </row>
    <row r="7" spans="1:35" ht="21" customHeight="1">
      <c r="A7" s="3">
        <v>5</v>
      </c>
      <c r="B7" s="1" t="s">
        <v>8</v>
      </c>
      <c r="C7" s="1">
        <v>0.015745048002491477</v>
      </c>
      <c r="D7" s="1">
        <v>0.0020313458275371425</v>
      </c>
      <c r="E7" s="1">
        <v>0.0226808966610926</v>
      </c>
      <c r="F7" s="1">
        <v>0.007551288476681691</v>
      </c>
      <c r="G7" s="1">
        <v>0.20235191321008963</v>
      </c>
      <c r="H7" s="1">
        <v>0.015235512524403262</v>
      </c>
      <c r="I7" s="1">
        <v>0.00027169684925813325</v>
      </c>
      <c r="J7" s="1">
        <v>0.033920204265055015</v>
      </c>
      <c r="K7" s="1">
        <v>0.019703665070828467</v>
      </c>
      <c r="L7" s="1">
        <v>0.00464956363839672</v>
      </c>
      <c r="M7" s="1">
        <v>0.0056163589197691715</v>
      </c>
      <c r="N7" s="1">
        <v>0.0014193008670522846</v>
      </c>
      <c r="O7" s="1">
        <v>0.004451413139500038</v>
      </c>
      <c r="P7" s="1">
        <v>0.001911827055833925</v>
      </c>
      <c r="Q7" s="1">
        <v>0.009723623171958207</v>
      </c>
      <c r="R7" s="1">
        <v>0.08080858007543518</v>
      </c>
      <c r="S7" s="1">
        <v>0.032430115766339564</v>
      </c>
      <c r="T7" s="1">
        <v>0.0023671039433359464</v>
      </c>
      <c r="U7" s="1">
        <v>0.0020264345279604207</v>
      </c>
      <c r="V7" s="1">
        <v>0.012792828484246472</v>
      </c>
      <c r="W7" s="1">
        <v>0.004257039469856904</v>
      </c>
      <c r="X7" s="1">
        <v>0.0007852662019724458</v>
      </c>
      <c r="Y7" s="1">
        <v>0.007791183337335005</v>
      </c>
      <c r="Z7" s="1">
        <v>0.0023957019795483067</v>
      </c>
      <c r="AA7" s="1">
        <v>0.0027381408202292157</v>
      </c>
      <c r="AB7" s="1">
        <v>0.009699927546634343</v>
      </c>
      <c r="AC7" s="1">
        <v>0.004238316166213667</v>
      </c>
      <c r="AD7" s="1">
        <v>0.022804171073835477</v>
      </c>
      <c r="AE7" s="1">
        <v>0.00449172464962409</v>
      </c>
      <c r="AF7" s="1">
        <v>0.005987560411485271</v>
      </c>
      <c r="AG7" s="1">
        <v>0.48216315048916986</v>
      </c>
      <c r="AH7" s="1">
        <v>0.0019676953245467738</v>
      </c>
      <c r="AI7" s="1">
        <v>0.015816129664663142</v>
      </c>
    </row>
    <row r="8" spans="1:35" ht="21" customHeight="1">
      <c r="A8" s="3">
        <v>6</v>
      </c>
      <c r="B8" s="1" t="s">
        <v>9</v>
      </c>
      <c r="C8" s="1">
        <v>0.061522040523226844</v>
      </c>
      <c r="D8" s="1">
        <v>0.005101761262659551</v>
      </c>
      <c r="E8" s="1">
        <v>0.009749372332948316</v>
      </c>
      <c r="F8" s="1">
        <v>0.15597491342721495</v>
      </c>
      <c r="G8" s="1">
        <v>0.026808170833477574</v>
      </c>
      <c r="H8" s="1">
        <v>0.28799996800609634</v>
      </c>
      <c r="I8" s="1">
        <v>0.044047881340084645</v>
      </c>
      <c r="J8" s="1">
        <v>0.01651281887000878</v>
      </c>
      <c r="K8" s="1">
        <v>0.003466247530167895</v>
      </c>
      <c r="L8" s="1">
        <v>0.0032807573515947954</v>
      </c>
      <c r="M8" s="1">
        <v>0.009171639169125419</v>
      </c>
      <c r="N8" s="1">
        <v>0.005146925474500746</v>
      </c>
      <c r="O8" s="1">
        <v>0.010183360160603382</v>
      </c>
      <c r="P8" s="1">
        <v>0.0206306739939909</v>
      </c>
      <c r="Q8" s="1">
        <v>0.008497361882689427</v>
      </c>
      <c r="R8" s="1">
        <v>0.10341326603732325</v>
      </c>
      <c r="S8" s="1">
        <v>0.0037384759652938477</v>
      </c>
      <c r="T8" s="1">
        <v>0.00014734768181836493</v>
      </c>
      <c r="U8" s="1">
        <v>0.010947994774478973</v>
      </c>
      <c r="V8" s="1">
        <v>6.517377515067491E-06</v>
      </c>
      <c r="W8" s="1">
        <v>0</v>
      </c>
      <c r="X8" s="1">
        <v>3.180627071766783E-05</v>
      </c>
      <c r="Y8" s="1">
        <v>0.0003563641609824742</v>
      </c>
      <c r="Z8" s="1">
        <v>0.002152931914298757</v>
      </c>
      <c r="AA8" s="1">
        <v>0.0009184209323053217</v>
      </c>
      <c r="AB8" s="1">
        <v>0.004853691517032468</v>
      </c>
      <c r="AC8" s="1">
        <v>0.17791656661356625</v>
      </c>
      <c r="AD8" s="1">
        <v>0.0025807088262688577</v>
      </c>
      <c r="AE8" s="1">
        <v>0.003608364215855656</v>
      </c>
      <c r="AF8" s="1">
        <v>0.006439464717557055</v>
      </c>
      <c r="AG8" s="1">
        <v>0.0527993188036379</v>
      </c>
      <c r="AH8" s="1">
        <v>0.005772216494473007</v>
      </c>
      <c r="AI8" s="1">
        <v>0.02431610071785992</v>
      </c>
    </row>
    <row r="9" spans="1:35" ht="21" customHeight="1">
      <c r="A9" s="3">
        <v>7</v>
      </c>
      <c r="B9" s="1" t="s">
        <v>10</v>
      </c>
      <c r="C9" s="1">
        <v>0.03344815707081802</v>
      </c>
      <c r="D9" s="1">
        <v>0.07484506201164148</v>
      </c>
      <c r="E9" s="1">
        <v>0.003911975753690065</v>
      </c>
      <c r="F9" s="1">
        <v>0.008147172285050647</v>
      </c>
      <c r="G9" s="1">
        <v>0.006620275982114783</v>
      </c>
      <c r="H9" s="1">
        <v>0.007710314227041826</v>
      </c>
      <c r="I9" s="1">
        <v>0.2801815537221086</v>
      </c>
      <c r="J9" s="1">
        <v>0.02227260383119289</v>
      </c>
      <c r="K9" s="1">
        <v>0.03343157330670777</v>
      </c>
      <c r="L9" s="1">
        <v>0.0051860909073774665</v>
      </c>
      <c r="M9" s="1">
        <v>0.005782048087296577</v>
      </c>
      <c r="N9" s="1">
        <v>0.0025978520470216907</v>
      </c>
      <c r="O9" s="1">
        <v>0.0020849310692128216</v>
      </c>
      <c r="P9" s="1">
        <v>0.0014289495023663001</v>
      </c>
      <c r="Q9" s="1">
        <v>0.0026883420572430933</v>
      </c>
      <c r="R9" s="1">
        <v>0.00378798140016808</v>
      </c>
      <c r="S9" s="1">
        <v>0.017154241972434106</v>
      </c>
      <c r="T9" s="1">
        <v>0.005635404782428992</v>
      </c>
      <c r="U9" s="1">
        <v>0.010666240923812029</v>
      </c>
      <c r="V9" s="1">
        <v>0.010979355752935592</v>
      </c>
      <c r="W9" s="1">
        <v>0.0008998293138643435</v>
      </c>
      <c r="X9" s="1">
        <v>0.0009031239668977054</v>
      </c>
      <c r="Y9" s="1">
        <v>0.037013931800080724</v>
      </c>
      <c r="Z9" s="1">
        <v>0.0022625807079307463</v>
      </c>
      <c r="AA9" s="1">
        <v>0.008996247013885381</v>
      </c>
      <c r="AB9" s="1">
        <v>0.008784407343063667</v>
      </c>
      <c r="AC9" s="1">
        <v>0.00630942736986466</v>
      </c>
      <c r="AD9" s="1">
        <v>0.006168756453192783</v>
      </c>
      <c r="AE9" s="1">
        <v>0.0035748999807949738</v>
      </c>
      <c r="AF9" s="1">
        <v>0.007075178558083537</v>
      </c>
      <c r="AG9" s="1">
        <v>0</v>
      </c>
      <c r="AH9" s="1">
        <v>0.0005099062669778318</v>
      </c>
      <c r="AI9" s="1">
        <v>0.008665060727278238</v>
      </c>
    </row>
    <row r="10" spans="1:35" ht="21" customHeight="1">
      <c r="A10" s="3">
        <v>8</v>
      </c>
      <c r="B10" s="1" t="s">
        <v>11</v>
      </c>
      <c r="C10" s="1">
        <v>0.0022375965675292095</v>
      </c>
      <c r="D10" s="1">
        <v>3.0127249572182295E-05</v>
      </c>
      <c r="E10" s="1">
        <v>0.007221392078620339</v>
      </c>
      <c r="F10" s="1">
        <v>0.0005604014938427954</v>
      </c>
      <c r="G10" s="1">
        <v>0.007851887652390326</v>
      </c>
      <c r="H10" s="1">
        <v>0.007281981189029986</v>
      </c>
      <c r="I10" s="1">
        <v>0.020610146708009824</v>
      </c>
      <c r="J10" s="1">
        <v>0.14615012354835663</v>
      </c>
      <c r="K10" s="1">
        <v>0.007507127852671578</v>
      </c>
      <c r="L10" s="1">
        <v>0.00298907791599141</v>
      </c>
      <c r="M10" s="1">
        <v>0.004236333920892373</v>
      </c>
      <c r="N10" s="1">
        <v>0.008871524809457144</v>
      </c>
      <c r="O10" s="1">
        <v>0.007522766895232769</v>
      </c>
      <c r="P10" s="1">
        <v>0.0011896883208245002</v>
      </c>
      <c r="Q10" s="1">
        <v>0.009558549536864332</v>
      </c>
      <c r="R10" s="1">
        <v>0.004404612728764409</v>
      </c>
      <c r="S10" s="1">
        <v>0.07802637417334132</v>
      </c>
      <c r="T10" s="1">
        <v>0.0005338314247825487</v>
      </c>
      <c r="U10" s="1">
        <v>0.0025860770588173663</v>
      </c>
      <c r="V10" s="1">
        <v>0.0009165870583881366</v>
      </c>
      <c r="W10" s="1">
        <v>0</v>
      </c>
      <c r="X10" s="1">
        <v>8.160630347418025E-05</v>
      </c>
      <c r="Y10" s="1">
        <v>6.471053704045484E-05</v>
      </c>
      <c r="Z10" s="1">
        <v>1.3790787865184016E-07</v>
      </c>
      <c r="AA10" s="1">
        <v>0.0003363211542541333</v>
      </c>
      <c r="AB10" s="1">
        <v>0.0031729763722673286</v>
      </c>
      <c r="AC10" s="1">
        <v>0.001282512432144421</v>
      </c>
      <c r="AD10" s="1">
        <v>0.0017765162014425336</v>
      </c>
      <c r="AE10" s="1">
        <v>0.0016034411868645134</v>
      </c>
      <c r="AF10" s="1">
        <v>0.0041054039988318684</v>
      </c>
      <c r="AG10" s="1">
        <v>0</v>
      </c>
      <c r="AH10" s="1">
        <v>0.0021611882730045214</v>
      </c>
      <c r="AI10" s="1">
        <v>0.01142035631463033</v>
      </c>
    </row>
    <row r="11" spans="1:35" ht="21" customHeight="1">
      <c r="A11" s="3">
        <v>9</v>
      </c>
      <c r="B11" s="1" t="s">
        <v>12</v>
      </c>
      <c r="C11" s="1">
        <v>4.6517330861339217E-05</v>
      </c>
      <c r="D11" s="1">
        <v>0.0013486751723376926</v>
      </c>
      <c r="E11" s="1">
        <v>0</v>
      </c>
      <c r="F11" s="1">
        <v>6.653058975194575E-05</v>
      </c>
      <c r="G11" s="1">
        <v>0.038478113020440574</v>
      </c>
      <c r="H11" s="1">
        <v>1.6874167817727855E-05</v>
      </c>
      <c r="I11" s="1">
        <v>0</v>
      </c>
      <c r="J11" s="1">
        <v>0.014539412099893411</v>
      </c>
      <c r="K11" s="1">
        <v>0.3923792491141745</v>
      </c>
      <c r="L11" s="1">
        <v>0.0010712219970048233</v>
      </c>
      <c r="M11" s="1">
        <v>0.24729853066337257</v>
      </c>
      <c r="N11" s="1">
        <v>0.09891461885912915</v>
      </c>
      <c r="O11" s="1">
        <v>0.010459100059099967</v>
      </c>
      <c r="P11" s="1">
        <v>0.11057323689390555</v>
      </c>
      <c r="Q11" s="1">
        <v>0.020726960048358445</v>
      </c>
      <c r="R11" s="1">
        <v>0.003530304154420121</v>
      </c>
      <c r="S11" s="1">
        <v>0.02616035639086935</v>
      </c>
      <c r="T11" s="1">
        <v>0</v>
      </c>
      <c r="U11" s="1">
        <v>0.0001812259905818695</v>
      </c>
      <c r="V11" s="1">
        <v>0</v>
      </c>
      <c r="W11" s="1">
        <v>0</v>
      </c>
      <c r="X11" s="1">
        <v>0</v>
      </c>
      <c r="Y11" s="1">
        <v>0.0006342863877276764</v>
      </c>
      <c r="Z11" s="1">
        <v>0</v>
      </c>
      <c r="AA11" s="1">
        <v>2.9847257420973918E-05</v>
      </c>
      <c r="AB11" s="1">
        <v>0</v>
      </c>
      <c r="AC11" s="1">
        <v>8.82021388078083E-06</v>
      </c>
      <c r="AD11" s="1">
        <v>0</v>
      </c>
      <c r="AE11" s="1">
        <v>0.00015881995498689966</v>
      </c>
      <c r="AF11" s="1">
        <v>2.9447915625530553E-05</v>
      </c>
      <c r="AG11" s="1">
        <v>1.815203484310591E-05</v>
      </c>
      <c r="AH11" s="1">
        <v>0.0020393536349174986</v>
      </c>
      <c r="AI11" s="1">
        <v>0.017887526849441223</v>
      </c>
    </row>
    <row r="12" spans="1:35" ht="21" customHeight="1">
      <c r="A12" s="3">
        <v>10</v>
      </c>
      <c r="B12" s="1" t="s">
        <v>13</v>
      </c>
      <c r="C12" s="1">
        <v>0</v>
      </c>
      <c r="D12" s="1">
        <v>3.846031860278592E-06</v>
      </c>
      <c r="E12" s="1">
        <v>0.0017013839121538398</v>
      </c>
      <c r="F12" s="1">
        <v>5.49988398640949E-05</v>
      </c>
      <c r="G12" s="1">
        <v>0.0036979309015771063</v>
      </c>
      <c r="H12" s="1">
        <v>0.0014479096309653508</v>
      </c>
      <c r="I12" s="1">
        <v>0</v>
      </c>
      <c r="J12" s="1">
        <v>0.008816699377353163</v>
      </c>
      <c r="K12" s="1">
        <v>0.003027092030647021</v>
      </c>
      <c r="L12" s="1">
        <v>0.49108025325531895</v>
      </c>
      <c r="M12" s="1">
        <v>0.09145180049208332</v>
      </c>
      <c r="N12" s="1">
        <v>0.016191959873416522</v>
      </c>
      <c r="O12" s="1">
        <v>0.029305608534649658</v>
      </c>
      <c r="P12" s="1">
        <v>0.014443032017407546</v>
      </c>
      <c r="Q12" s="1">
        <v>0.03268457974858708</v>
      </c>
      <c r="R12" s="1">
        <v>0.008723886918086019</v>
      </c>
      <c r="S12" s="1">
        <v>0.011127389894305484</v>
      </c>
      <c r="T12" s="1">
        <v>0.0009149924366945434</v>
      </c>
      <c r="U12" s="1">
        <v>0.00024880389501819744</v>
      </c>
      <c r="V12" s="1">
        <v>1.7636720069400192E-05</v>
      </c>
      <c r="W12" s="1">
        <v>0</v>
      </c>
      <c r="X12" s="1">
        <v>0</v>
      </c>
      <c r="Y12" s="1">
        <v>6.804219871856263E-06</v>
      </c>
      <c r="Z12" s="1">
        <v>0</v>
      </c>
      <c r="AA12" s="1">
        <v>0.00018155935389716846</v>
      </c>
      <c r="AB12" s="1">
        <v>0</v>
      </c>
      <c r="AC12" s="1">
        <v>0.0013634071899240154</v>
      </c>
      <c r="AD12" s="1">
        <v>0.00018057437851443903</v>
      </c>
      <c r="AE12" s="1">
        <v>0.0002516309828402848</v>
      </c>
      <c r="AF12" s="1">
        <v>0.00046007348574323554</v>
      </c>
      <c r="AG12" s="1">
        <v>0.0004328985279249804</v>
      </c>
      <c r="AH12" s="1">
        <v>0.0014624421946060023</v>
      </c>
      <c r="AI12" s="1">
        <v>0.0073983007962814045</v>
      </c>
    </row>
    <row r="13" spans="1:35" ht="21" customHeight="1">
      <c r="A13" s="3">
        <v>11</v>
      </c>
      <c r="B13" s="1" t="s">
        <v>14</v>
      </c>
      <c r="C13" s="1">
        <v>0.002327234892808061</v>
      </c>
      <c r="D13" s="1">
        <v>0.017819947619290805</v>
      </c>
      <c r="E13" s="1">
        <v>0.0112327196833548</v>
      </c>
      <c r="F13" s="1">
        <v>0.0008101561600842226</v>
      </c>
      <c r="G13" s="1">
        <v>0.03896533656101551</v>
      </c>
      <c r="H13" s="1">
        <v>0.010948166808248344</v>
      </c>
      <c r="I13" s="1">
        <v>0.00462078712916868</v>
      </c>
      <c r="J13" s="1">
        <v>0.0097394649161328</v>
      </c>
      <c r="K13" s="1">
        <v>0.004804945050763557</v>
      </c>
      <c r="L13" s="1">
        <v>0.0020020509951625028</v>
      </c>
      <c r="M13" s="1">
        <v>0.06283285543508879</v>
      </c>
      <c r="N13" s="1">
        <v>0.03774145491650164</v>
      </c>
      <c r="O13" s="1">
        <v>0.015650601971377808</v>
      </c>
      <c r="P13" s="1">
        <v>0.017097848300723684</v>
      </c>
      <c r="Q13" s="1">
        <v>0.018928443490764238</v>
      </c>
      <c r="R13" s="1">
        <v>0.012174305549999924</v>
      </c>
      <c r="S13" s="1">
        <v>0.08404741728740403</v>
      </c>
      <c r="T13" s="1">
        <v>0.0012584054763721873</v>
      </c>
      <c r="U13" s="1">
        <v>0.0007361636200682752</v>
      </c>
      <c r="V13" s="1">
        <v>0.004161594298237579</v>
      </c>
      <c r="W13" s="1">
        <v>3.800928098086521E-05</v>
      </c>
      <c r="X13" s="1">
        <v>0.00034384679569379403</v>
      </c>
      <c r="Y13" s="1">
        <v>0.0011582269613239842</v>
      </c>
      <c r="Z13" s="1">
        <v>0.00029975575736341305</v>
      </c>
      <c r="AA13" s="1">
        <v>0.005995063305277456</v>
      </c>
      <c r="AB13" s="1">
        <v>0.00017728903616725204</v>
      </c>
      <c r="AC13" s="1">
        <v>0.0003291154731625867</v>
      </c>
      <c r="AD13" s="1">
        <v>0.0022192706872231293</v>
      </c>
      <c r="AE13" s="1">
        <v>0.0012316853190439906</v>
      </c>
      <c r="AF13" s="1">
        <v>0.0018535715475536756</v>
      </c>
      <c r="AG13" s="1">
        <v>0.00021782441811727098</v>
      </c>
      <c r="AH13" s="1">
        <v>0.0008141051007756334</v>
      </c>
      <c r="AI13" s="1">
        <v>0.016012130660913636</v>
      </c>
    </row>
    <row r="14" spans="1:35" ht="21" customHeight="1">
      <c r="A14" s="3">
        <v>12</v>
      </c>
      <c r="B14" s="1" t="s">
        <v>15</v>
      </c>
      <c r="C14" s="1">
        <v>5.276053887639469E-05</v>
      </c>
      <c r="D14" s="1">
        <v>0.005715203344373987</v>
      </c>
      <c r="E14" s="1">
        <v>9.803658336477286E-07</v>
      </c>
      <c r="F14" s="1">
        <v>0</v>
      </c>
      <c r="G14" s="1">
        <v>0.0016392916104448398</v>
      </c>
      <c r="H14" s="1">
        <v>1.5039659976541602E-05</v>
      </c>
      <c r="I14" s="1">
        <v>0.00027557823281896377</v>
      </c>
      <c r="J14" s="1">
        <v>0.002666086904125704</v>
      </c>
      <c r="K14" s="1">
        <v>0.0024528716205727123</v>
      </c>
      <c r="L14" s="1">
        <v>0.0008556948189341893</v>
      </c>
      <c r="M14" s="1">
        <v>0.002365044337940238</v>
      </c>
      <c r="N14" s="1">
        <v>0.24100932159181135</v>
      </c>
      <c r="O14" s="1">
        <v>0.0063884740675144045</v>
      </c>
      <c r="P14" s="1">
        <v>0.011620109240712325</v>
      </c>
      <c r="Q14" s="1">
        <v>0.014856627158448673</v>
      </c>
      <c r="R14" s="1">
        <v>0.0018285001210647054</v>
      </c>
      <c r="S14" s="1">
        <v>0.007219289168166816</v>
      </c>
      <c r="T14" s="1">
        <v>2.6239112035871756E-06</v>
      </c>
      <c r="U14" s="1">
        <v>0.0023291894190001603</v>
      </c>
      <c r="V14" s="1">
        <v>1.3519827020760231E-05</v>
      </c>
      <c r="W14" s="1">
        <v>0</v>
      </c>
      <c r="X14" s="1">
        <v>0</v>
      </c>
      <c r="Y14" s="1">
        <v>9.445280773720946E-05</v>
      </c>
      <c r="Z14" s="1">
        <v>1.1184978114346163E-05</v>
      </c>
      <c r="AA14" s="1">
        <v>0.0011203274551737246</v>
      </c>
      <c r="AB14" s="1">
        <v>0</v>
      </c>
      <c r="AC14" s="1">
        <v>0</v>
      </c>
      <c r="AD14" s="1">
        <v>0</v>
      </c>
      <c r="AE14" s="1">
        <v>0.017909517603933275</v>
      </c>
      <c r="AF14" s="1">
        <v>0.00028360551387561776</v>
      </c>
      <c r="AG14" s="1">
        <v>0.049778930218077444</v>
      </c>
      <c r="AH14" s="1">
        <v>0.00020376862608125523</v>
      </c>
      <c r="AI14" s="1">
        <v>0.022717681746510763</v>
      </c>
    </row>
    <row r="15" spans="1:35" ht="21" customHeight="1">
      <c r="A15" s="3">
        <v>13</v>
      </c>
      <c r="B15" s="1" t="s">
        <v>16</v>
      </c>
      <c r="C15" s="1">
        <v>0.00071181302677957</v>
      </c>
      <c r="D15" s="1">
        <v>0.00014102116821021503</v>
      </c>
      <c r="E15" s="1">
        <v>1.7437617289928496E-05</v>
      </c>
      <c r="F15" s="1">
        <v>1.0568594631094458E-06</v>
      </c>
      <c r="G15" s="1">
        <v>0.0003314506139412034</v>
      </c>
      <c r="H15" s="1">
        <v>1.0670671560816745E-05</v>
      </c>
      <c r="I15" s="1">
        <v>0</v>
      </c>
      <c r="J15" s="1">
        <v>4.89573714436066E-06</v>
      </c>
      <c r="K15" s="1">
        <v>5.774691958689978E-06</v>
      </c>
      <c r="L15" s="1">
        <v>4.530448476213138E-05</v>
      </c>
      <c r="M15" s="1">
        <v>0.004561525480992406</v>
      </c>
      <c r="N15" s="1">
        <v>0.02918911120751623</v>
      </c>
      <c r="O15" s="1">
        <v>0.3194951329947414</v>
      </c>
      <c r="P15" s="1">
        <v>0.015915022799870723</v>
      </c>
      <c r="Q15" s="1">
        <v>0.07014057361631615</v>
      </c>
      <c r="R15" s="1">
        <v>0.0026566869931664767</v>
      </c>
      <c r="S15" s="1">
        <v>0.012294767907869942</v>
      </c>
      <c r="T15" s="1">
        <v>7.082170691237913E-05</v>
      </c>
      <c r="U15" s="1">
        <v>3.006609683566485E-05</v>
      </c>
      <c r="V15" s="1">
        <v>0.0005004326036617184</v>
      </c>
      <c r="W15" s="1">
        <v>0.00016447200319746257</v>
      </c>
      <c r="X15" s="1">
        <v>1.0202910927177876E-05</v>
      </c>
      <c r="Y15" s="1">
        <v>0.00012294433296469273</v>
      </c>
      <c r="Z15" s="1">
        <v>0.0018091644315820746</v>
      </c>
      <c r="AA15" s="1">
        <v>0.012217170661522976</v>
      </c>
      <c r="AB15" s="1">
        <v>0.0035594284766505375</v>
      </c>
      <c r="AC15" s="1">
        <v>5.725042160047124E-05</v>
      </c>
      <c r="AD15" s="1">
        <v>0</v>
      </c>
      <c r="AE15" s="1">
        <v>0.017440147132450182</v>
      </c>
      <c r="AF15" s="1">
        <v>0.0003912373665141486</v>
      </c>
      <c r="AG15" s="1">
        <v>0.02084403661650471</v>
      </c>
      <c r="AH15" s="1">
        <v>4.342927901256057E-05</v>
      </c>
      <c r="AI15" s="1">
        <v>0.025806208419302763</v>
      </c>
    </row>
    <row r="16" spans="1:35" ht="21" customHeight="1">
      <c r="A16" s="3">
        <v>14</v>
      </c>
      <c r="B16" s="1" t="s">
        <v>17</v>
      </c>
      <c r="C16" s="1">
        <v>0.009573689695910107</v>
      </c>
      <c r="D16" s="1">
        <v>3.6537302672646616E-05</v>
      </c>
      <c r="E16" s="1">
        <v>0</v>
      </c>
      <c r="F16" s="1">
        <v>0</v>
      </c>
      <c r="G16" s="1">
        <v>0</v>
      </c>
      <c r="H16" s="1">
        <v>0</v>
      </c>
      <c r="I16" s="1">
        <v>0</v>
      </c>
      <c r="J16" s="1">
        <v>0</v>
      </c>
      <c r="K16" s="1">
        <v>0</v>
      </c>
      <c r="L16" s="1">
        <v>0</v>
      </c>
      <c r="M16" s="1">
        <v>0</v>
      </c>
      <c r="N16" s="1">
        <v>0</v>
      </c>
      <c r="O16" s="1">
        <v>0</v>
      </c>
      <c r="P16" s="1">
        <v>0.365606046438938</v>
      </c>
      <c r="Q16" s="1">
        <v>0</v>
      </c>
      <c r="R16" s="1">
        <v>0</v>
      </c>
      <c r="S16" s="1">
        <v>0</v>
      </c>
      <c r="T16" s="1">
        <v>0</v>
      </c>
      <c r="U16" s="1">
        <v>0</v>
      </c>
      <c r="V16" s="1">
        <v>0</v>
      </c>
      <c r="W16" s="1">
        <v>0</v>
      </c>
      <c r="X16" s="1">
        <v>0</v>
      </c>
      <c r="Y16" s="1">
        <v>0.01376221243155759</v>
      </c>
      <c r="Z16" s="1">
        <v>0</v>
      </c>
      <c r="AA16" s="1">
        <v>0.022572693935423757</v>
      </c>
      <c r="AB16" s="1">
        <v>7.301606610786025E-05</v>
      </c>
      <c r="AC16" s="1">
        <v>0</v>
      </c>
      <c r="AD16" s="1">
        <v>0</v>
      </c>
      <c r="AE16" s="1">
        <v>0.042602058281206355</v>
      </c>
      <c r="AF16" s="1">
        <v>3.4250294335638327E-05</v>
      </c>
      <c r="AG16" s="1">
        <v>0</v>
      </c>
      <c r="AH16" s="1">
        <v>0</v>
      </c>
      <c r="AI16" s="1">
        <v>0.007871041601264828</v>
      </c>
    </row>
    <row r="17" spans="1:35" ht="21" customHeight="1">
      <c r="A17" s="3">
        <v>15</v>
      </c>
      <c r="B17" s="1" t="s">
        <v>18</v>
      </c>
      <c r="C17" s="1">
        <v>0.00010555665156275021</v>
      </c>
      <c r="D17" s="1">
        <v>1.6025132751160796E-05</v>
      </c>
      <c r="E17" s="1">
        <v>8.664230296203134E-06</v>
      </c>
      <c r="F17" s="1">
        <v>3.336031131795722E-05</v>
      </c>
      <c r="G17" s="1">
        <v>2.898968484087839E-05</v>
      </c>
      <c r="H17" s="1">
        <v>2.850765364710859E-05</v>
      </c>
      <c r="I17" s="1">
        <v>7.76276712166095E-06</v>
      </c>
      <c r="J17" s="1">
        <v>0.00013358877153855862</v>
      </c>
      <c r="K17" s="1">
        <v>5.774691958689978E-06</v>
      </c>
      <c r="L17" s="1">
        <v>8.653665628721726E-06</v>
      </c>
      <c r="M17" s="1">
        <v>3.167554459647289E-05</v>
      </c>
      <c r="N17" s="1">
        <v>0.00451455253241211</v>
      </c>
      <c r="O17" s="1">
        <v>0.0003928528535296935</v>
      </c>
      <c r="P17" s="1">
        <v>0.0004635841738317214</v>
      </c>
      <c r="Q17" s="1">
        <v>0.11698218273652547</v>
      </c>
      <c r="R17" s="1">
        <v>0.00019128546434727284</v>
      </c>
      <c r="S17" s="1">
        <v>3.017080127270295E-06</v>
      </c>
      <c r="T17" s="1">
        <v>0</v>
      </c>
      <c r="U17" s="1">
        <v>7.673798396165333E-05</v>
      </c>
      <c r="V17" s="1">
        <v>0.002240846030538424</v>
      </c>
      <c r="W17" s="1">
        <v>4.120089999452566E-05</v>
      </c>
      <c r="X17" s="1">
        <v>6.379474956147401E-06</v>
      </c>
      <c r="Y17" s="1">
        <v>2.3148699329934103E-05</v>
      </c>
      <c r="Z17" s="1">
        <v>3.0719478147586054E-05</v>
      </c>
      <c r="AA17" s="1">
        <v>0.0007650820108973944</v>
      </c>
      <c r="AB17" s="1">
        <v>2.491261909913719E-05</v>
      </c>
      <c r="AC17" s="1">
        <v>0.005825864755924176</v>
      </c>
      <c r="AD17" s="1">
        <v>2.8648819668156185E-05</v>
      </c>
      <c r="AE17" s="1">
        <v>0.0007041828315743709</v>
      </c>
      <c r="AF17" s="1">
        <v>0.00031241347614586004</v>
      </c>
      <c r="AG17" s="1">
        <v>0</v>
      </c>
      <c r="AH17" s="1">
        <v>0</v>
      </c>
      <c r="AI17" s="1">
        <v>0.0010837583423105987</v>
      </c>
    </row>
    <row r="18" spans="1:35" ht="21" customHeight="1">
      <c r="A18" s="3">
        <v>16</v>
      </c>
      <c r="B18" s="1" t="s">
        <v>19</v>
      </c>
      <c r="C18" s="1">
        <v>0.015054717128003488</v>
      </c>
      <c r="D18" s="1">
        <v>0.013424574208302424</v>
      </c>
      <c r="E18" s="1">
        <v>0.018922293845667883</v>
      </c>
      <c r="F18" s="1">
        <v>0.014736144506727623</v>
      </c>
      <c r="G18" s="1">
        <v>0.025504514621734618</v>
      </c>
      <c r="H18" s="1">
        <v>0.02538236654782287</v>
      </c>
      <c r="I18" s="1">
        <v>0.004067689971750338</v>
      </c>
      <c r="J18" s="1">
        <v>0.011900092458533173</v>
      </c>
      <c r="K18" s="1">
        <v>0.004985693848615661</v>
      </c>
      <c r="L18" s="1">
        <v>0.006695392000857463</v>
      </c>
      <c r="M18" s="1">
        <v>0.011938521972613345</v>
      </c>
      <c r="N18" s="1">
        <v>0.023063465068802285</v>
      </c>
      <c r="O18" s="1">
        <v>0.026960868729865792</v>
      </c>
      <c r="P18" s="1">
        <v>0.020195049507707417</v>
      </c>
      <c r="Q18" s="1">
        <v>0.04140203981140168</v>
      </c>
      <c r="R18" s="1">
        <v>0.18106396419613816</v>
      </c>
      <c r="S18" s="1">
        <v>0.026875625102726425</v>
      </c>
      <c r="T18" s="1">
        <v>0.012482248992727572</v>
      </c>
      <c r="U18" s="1">
        <v>0.03716996993476437</v>
      </c>
      <c r="V18" s="1">
        <v>0.01884510902450779</v>
      </c>
      <c r="W18" s="1">
        <v>0.03396732347285097</v>
      </c>
      <c r="X18" s="1">
        <v>0.0007002973021238187</v>
      </c>
      <c r="Y18" s="1">
        <v>0.005347266922028227</v>
      </c>
      <c r="Z18" s="1">
        <v>0.016619800473089842</v>
      </c>
      <c r="AA18" s="1">
        <v>0.044537154549432335</v>
      </c>
      <c r="AB18" s="1">
        <v>0.05634864623713167</v>
      </c>
      <c r="AC18" s="1">
        <v>0.011290966149698815</v>
      </c>
      <c r="AD18" s="1">
        <v>0.08639586927663671</v>
      </c>
      <c r="AE18" s="1">
        <v>0.05114483356193469</v>
      </c>
      <c r="AF18" s="1">
        <v>0.012904945512905067</v>
      </c>
      <c r="AG18" s="1">
        <v>0.14588405360240883</v>
      </c>
      <c r="AH18" s="1">
        <v>0.0016755170947613776</v>
      </c>
      <c r="AI18" s="1">
        <v>0.02811330914172906</v>
      </c>
    </row>
    <row r="19" spans="1:35" ht="21" customHeight="1">
      <c r="A19" s="3">
        <v>17</v>
      </c>
      <c r="B19" s="1" t="s">
        <v>20</v>
      </c>
      <c r="C19" s="1">
        <v>0.0036423985604716732</v>
      </c>
      <c r="D19" s="1">
        <v>0.006693019447542001</v>
      </c>
      <c r="E19" s="1">
        <v>0.0021952669403435114</v>
      </c>
      <c r="F19" s="1">
        <v>0.004082495077835113</v>
      </c>
      <c r="G19" s="1">
        <v>0.004248536023963637</v>
      </c>
      <c r="H19" s="1">
        <v>0.009107925932251152</v>
      </c>
      <c r="I19" s="1">
        <v>0.013992509943476483</v>
      </c>
      <c r="J19" s="1">
        <v>0.011727707868122278</v>
      </c>
      <c r="K19" s="1">
        <v>0.0062516667629213245</v>
      </c>
      <c r="L19" s="1">
        <v>0.003101865762821259</v>
      </c>
      <c r="M19" s="1">
        <v>0.009089872397109542</v>
      </c>
      <c r="N19" s="1">
        <v>0.0037887250552218203</v>
      </c>
      <c r="O19" s="1">
        <v>0.004287713690287587</v>
      </c>
      <c r="P19" s="1">
        <v>0.002413203458251639</v>
      </c>
      <c r="Q19" s="1">
        <v>0.005117592470814839</v>
      </c>
      <c r="R19" s="1">
        <v>0.002709992903365151</v>
      </c>
      <c r="S19" s="1">
        <v>0.003920219919575802</v>
      </c>
      <c r="T19" s="1">
        <v>0.015587646937752352</v>
      </c>
      <c r="U19" s="1">
        <v>0.036427116645468695</v>
      </c>
      <c r="V19" s="1">
        <v>0.0024500374438518424</v>
      </c>
      <c r="W19" s="1">
        <v>0.0038425287861038517</v>
      </c>
      <c r="X19" s="1">
        <v>0.04825849597147772</v>
      </c>
      <c r="Y19" s="1">
        <v>0.01158283710046854</v>
      </c>
      <c r="Z19" s="1">
        <v>0.0017242133782663816</v>
      </c>
      <c r="AA19" s="1">
        <v>0.011783476693214737</v>
      </c>
      <c r="AB19" s="1">
        <v>0.020904874277649064</v>
      </c>
      <c r="AC19" s="1">
        <v>0.0038435009652470586</v>
      </c>
      <c r="AD19" s="1">
        <v>0.0019328139100071031</v>
      </c>
      <c r="AE19" s="1">
        <v>0.002929132284563347</v>
      </c>
      <c r="AF19" s="1">
        <v>0.005833809862625787</v>
      </c>
      <c r="AG19" s="1">
        <v>0</v>
      </c>
      <c r="AH19" s="1">
        <v>0.07725039189885177</v>
      </c>
      <c r="AI19" s="1">
        <v>0.00861282075427935</v>
      </c>
    </row>
    <row r="20" spans="1:35" ht="21" customHeight="1">
      <c r="A20" s="3">
        <v>18</v>
      </c>
      <c r="B20" s="1" t="s">
        <v>21</v>
      </c>
      <c r="C20" s="1">
        <v>0.0035814901227457004</v>
      </c>
      <c r="D20" s="1">
        <v>0.015628735067428078</v>
      </c>
      <c r="E20" s="1">
        <v>0.010931545073550257</v>
      </c>
      <c r="F20" s="1">
        <v>0.022556684999945772</v>
      </c>
      <c r="G20" s="1">
        <v>0.015152855826199199</v>
      </c>
      <c r="H20" s="1">
        <v>0.031348834675088554</v>
      </c>
      <c r="I20" s="1">
        <v>0.016442317040390057</v>
      </c>
      <c r="J20" s="1">
        <v>0.02697757194003884</v>
      </c>
      <c r="K20" s="1">
        <v>0.02889624997398168</v>
      </c>
      <c r="L20" s="1">
        <v>0.0185461289441527</v>
      </c>
      <c r="M20" s="1">
        <v>0.014302216293517104</v>
      </c>
      <c r="N20" s="1">
        <v>0.008469604662533365</v>
      </c>
      <c r="O20" s="1">
        <v>0.009387686633462611</v>
      </c>
      <c r="P20" s="1">
        <v>0.005901859278630097</v>
      </c>
      <c r="Q20" s="1">
        <v>0.008198657209662414</v>
      </c>
      <c r="R20" s="1">
        <v>0.0148376378851513</v>
      </c>
      <c r="S20" s="1">
        <v>0.005933861839450492</v>
      </c>
      <c r="T20" s="1">
        <v>0.003935913474631192</v>
      </c>
      <c r="U20" s="1">
        <v>0.06281279110568083</v>
      </c>
      <c r="V20" s="1">
        <v>0.014677621723471278</v>
      </c>
      <c r="W20" s="1">
        <v>0.004335810285097947</v>
      </c>
      <c r="X20" s="1">
        <v>0.001792251564660391</v>
      </c>
      <c r="Y20" s="1">
        <v>0.015895451167213612</v>
      </c>
      <c r="Z20" s="1">
        <v>0.010042806322217244</v>
      </c>
      <c r="AA20" s="1">
        <v>0.01741614268067368</v>
      </c>
      <c r="AB20" s="1">
        <v>0.03031545060012839</v>
      </c>
      <c r="AC20" s="1">
        <v>0.02277496706124473</v>
      </c>
      <c r="AD20" s="1">
        <v>0.0038467551499878814</v>
      </c>
      <c r="AE20" s="1">
        <v>0.004944322188311359</v>
      </c>
      <c r="AF20" s="1">
        <v>0.019711124899723893</v>
      </c>
      <c r="AG20" s="1">
        <v>0</v>
      </c>
      <c r="AH20" s="1">
        <v>0.10057158553018901</v>
      </c>
      <c r="AI20" s="1">
        <v>0.013162905483967051</v>
      </c>
    </row>
    <row r="21" spans="1:35" ht="21" customHeight="1">
      <c r="A21" s="3">
        <v>19</v>
      </c>
      <c r="B21" s="1" t="s">
        <v>22</v>
      </c>
      <c r="C21" s="1">
        <v>0.0005627661694830036</v>
      </c>
      <c r="D21" s="1">
        <v>0.002986443739506326</v>
      </c>
      <c r="E21" s="1">
        <v>0.0038586412860631956</v>
      </c>
      <c r="F21" s="1">
        <v>0.006412516041531813</v>
      </c>
      <c r="G21" s="1">
        <v>0.002274886291131984</v>
      </c>
      <c r="H21" s="1">
        <v>0.0060229154142964455</v>
      </c>
      <c r="I21" s="1">
        <v>0.0007064118080711463</v>
      </c>
      <c r="J21" s="1">
        <v>0.00476546604419426</v>
      </c>
      <c r="K21" s="1">
        <v>0.0038352356086767832</v>
      </c>
      <c r="L21" s="1">
        <v>0.0012481640071544513</v>
      </c>
      <c r="M21" s="1">
        <v>0.0019782274564427473</v>
      </c>
      <c r="N21" s="1">
        <v>0.003248129029473244</v>
      </c>
      <c r="O21" s="1">
        <v>0.0016463314229505166</v>
      </c>
      <c r="P21" s="1">
        <v>0.0010370856956370697</v>
      </c>
      <c r="Q21" s="1">
        <v>0.00357659542703394</v>
      </c>
      <c r="R21" s="1">
        <v>0.0019215274054919542</v>
      </c>
      <c r="S21" s="1">
        <v>0.0018619899378938532</v>
      </c>
      <c r="T21" s="1">
        <v>0.001963612114934558</v>
      </c>
      <c r="U21" s="1">
        <v>0.004636009314763991</v>
      </c>
      <c r="V21" s="1">
        <v>0.0012320331052147425</v>
      </c>
      <c r="W21" s="1">
        <v>0.0018258133238016705</v>
      </c>
      <c r="X21" s="1">
        <v>0.0004681329030942098</v>
      </c>
      <c r="Y21" s="1">
        <v>0.00594791056432081</v>
      </c>
      <c r="Z21" s="1">
        <v>0.0023889919078448675</v>
      </c>
      <c r="AA21" s="1">
        <v>0.010732349048904178</v>
      </c>
      <c r="AB21" s="1">
        <v>0.015579594256843785</v>
      </c>
      <c r="AC21" s="1">
        <v>0.006167306845412447</v>
      </c>
      <c r="AD21" s="1">
        <v>0.0030981238723967693</v>
      </c>
      <c r="AE21" s="1">
        <v>0.0017666332466009093</v>
      </c>
      <c r="AF21" s="1">
        <v>0.014799873030236402</v>
      </c>
      <c r="AG21" s="1">
        <v>0</v>
      </c>
      <c r="AH21" s="1">
        <v>0.017352905176166115</v>
      </c>
      <c r="AI21" s="1">
        <v>0.004198944284487322</v>
      </c>
    </row>
    <row r="22" spans="1:35" ht="21" customHeight="1">
      <c r="A22" s="3">
        <v>20</v>
      </c>
      <c r="B22" s="1" t="s">
        <v>23</v>
      </c>
      <c r="C22" s="1">
        <v>0.04695480281193296</v>
      </c>
      <c r="D22" s="1">
        <v>0.04087306258980068</v>
      </c>
      <c r="E22" s="1">
        <v>0.052874979893474096</v>
      </c>
      <c r="F22" s="1">
        <v>0.05412200359916316</v>
      </c>
      <c r="G22" s="1">
        <v>0.07577622790629478</v>
      </c>
      <c r="H22" s="1">
        <v>0.0325029937366979</v>
      </c>
      <c r="I22" s="1">
        <v>0.08513038563969481</v>
      </c>
      <c r="J22" s="1">
        <v>0.05303720873587277</v>
      </c>
      <c r="K22" s="1">
        <v>0.06055402691543848</v>
      </c>
      <c r="L22" s="1">
        <v>0.046073642924778356</v>
      </c>
      <c r="M22" s="1">
        <v>0.03980115625428803</v>
      </c>
      <c r="N22" s="1">
        <v>0.0406258891050631</v>
      </c>
      <c r="O22" s="1">
        <v>0.03795713723417211</v>
      </c>
      <c r="P22" s="1">
        <v>0.03976387305165043</v>
      </c>
      <c r="Q22" s="1">
        <v>0.04981293455189908</v>
      </c>
      <c r="R22" s="1">
        <v>0.04559757667048761</v>
      </c>
      <c r="S22" s="1">
        <v>0.054367098717005964</v>
      </c>
      <c r="T22" s="1">
        <v>0.007197323628627265</v>
      </c>
      <c r="U22" s="1">
        <v>0.011811814073782146</v>
      </c>
      <c r="V22" s="1">
        <v>0.021767083194087516</v>
      </c>
      <c r="W22" s="1">
        <v>0.004910823972486334</v>
      </c>
      <c r="X22" s="1">
        <v>0.001183261883149033</v>
      </c>
      <c r="Y22" s="1">
        <v>0.015134808255351876</v>
      </c>
      <c r="Z22" s="1">
        <v>0.004417127776467323</v>
      </c>
      <c r="AA22" s="1">
        <v>0.018790302254496013</v>
      </c>
      <c r="AB22" s="1">
        <v>0.023709275860046713</v>
      </c>
      <c r="AC22" s="1">
        <v>0.05642164763503963</v>
      </c>
      <c r="AD22" s="1">
        <v>0.031926360391</v>
      </c>
      <c r="AE22" s="1">
        <v>0.02049518725840173</v>
      </c>
      <c r="AF22" s="1">
        <v>0.05235568593096283</v>
      </c>
      <c r="AG22" s="1">
        <v>0.17146797155961183</v>
      </c>
      <c r="AH22" s="1">
        <v>6.242958858055584E-05</v>
      </c>
      <c r="AI22" s="1">
        <v>0.03325367784030127</v>
      </c>
    </row>
    <row r="23" spans="1:35" ht="21" customHeight="1">
      <c r="A23" s="3">
        <v>21</v>
      </c>
      <c r="B23" s="1" t="s">
        <v>24</v>
      </c>
      <c r="C23" s="1">
        <v>0.052255822084227056</v>
      </c>
      <c r="D23" s="1">
        <v>0.07103684946465563</v>
      </c>
      <c r="E23" s="1">
        <v>0.008665946585714391</v>
      </c>
      <c r="F23" s="1">
        <v>0.0331179617621654</v>
      </c>
      <c r="G23" s="1">
        <v>0.01943958786214424</v>
      </c>
      <c r="H23" s="1">
        <v>0.015148067150546087</v>
      </c>
      <c r="I23" s="1">
        <v>0.0055464971084267485</v>
      </c>
      <c r="J23" s="1">
        <v>0.03067508296361854</v>
      </c>
      <c r="K23" s="1">
        <v>0.011143968931314386</v>
      </c>
      <c r="L23" s="1">
        <v>0.00856916512905303</v>
      </c>
      <c r="M23" s="1">
        <v>0.02069663542841117</v>
      </c>
      <c r="N23" s="1">
        <v>0.014137798554485985</v>
      </c>
      <c r="O23" s="1">
        <v>0.008304112112678194</v>
      </c>
      <c r="P23" s="1">
        <v>0.007155068223859011</v>
      </c>
      <c r="Q23" s="1">
        <v>0.024768905913371306</v>
      </c>
      <c r="R23" s="1">
        <v>0.016024241553764237</v>
      </c>
      <c r="S23" s="1">
        <v>0.014946611260988679</v>
      </c>
      <c r="T23" s="1">
        <v>0.04487477279394281</v>
      </c>
      <c r="U23" s="1">
        <v>0.01448568594491721</v>
      </c>
      <c r="V23" s="1">
        <v>0.05261614439316492</v>
      </c>
      <c r="W23" s="1">
        <v>0.08460617248755117</v>
      </c>
      <c r="X23" s="1">
        <v>0.07163770401533309</v>
      </c>
      <c r="Y23" s="1">
        <v>0.06439489159507206</v>
      </c>
      <c r="Z23" s="1">
        <v>0.010887172060593774</v>
      </c>
      <c r="AA23" s="1">
        <v>0.003979223268877912</v>
      </c>
      <c r="AB23" s="1">
        <v>0.005422851192412459</v>
      </c>
      <c r="AC23" s="1">
        <v>0.011053121097210057</v>
      </c>
      <c r="AD23" s="1">
        <v>0.024286675146158346</v>
      </c>
      <c r="AE23" s="1">
        <v>0.03803032767003546</v>
      </c>
      <c r="AF23" s="1">
        <v>0.0250183714062272</v>
      </c>
      <c r="AG23" s="1">
        <v>0</v>
      </c>
      <c r="AH23" s="1">
        <v>0.00013707366188339432</v>
      </c>
      <c r="AI23" s="1">
        <v>0.030081513731286605</v>
      </c>
    </row>
    <row r="24" spans="1:35" ht="21" customHeight="1">
      <c r="A24" s="3">
        <v>22</v>
      </c>
      <c r="B24" s="1" t="s">
        <v>25</v>
      </c>
      <c r="C24" s="1">
        <v>0.0003459147434760698</v>
      </c>
      <c r="D24" s="1">
        <v>0.006397975278412426</v>
      </c>
      <c r="E24" s="1">
        <v>0.0016519244341102132</v>
      </c>
      <c r="F24" s="1">
        <v>0.0023067355053538996</v>
      </c>
      <c r="G24" s="1">
        <v>0.002727983179866171</v>
      </c>
      <c r="H24" s="1">
        <v>0.004715527857321638</v>
      </c>
      <c r="I24" s="1">
        <v>0.003483920180742533</v>
      </c>
      <c r="J24" s="1">
        <v>0.0061100235328256525</v>
      </c>
      <c r="K24" s="1">
        <v>0.0026305802179246917</v>
      </c>
      <c r="L24" s="1">
        <v>0.0016888890891553932</v>
      </c>
      <c r="M24" s="1">
        <v>0.003606160661422858</v>
      </c>
      <c r="N24" s="1">
        <v>0.0031082966878949922</v>
      </c>
      <c r="O24" s="1">
        <v>0.002443801606497876</v>
      </c>
      <c r="P24" s="1">
        <v>0.0017201518418146172</v>
      </c>
      <c r="Q24" s="1">
        <v>0.003690291858367168</v>
      </c>
      <c r="R24" s="1">
        <v>0.0035401667692162814</v>
      </c>
      <c r="S24" s="1">
        <v>0.002233187092495263</v>
      </c>
      <c r="T24" s="1">
        <v>0.01486166655879078</v>
      </c>
      <c r="U24" s="1">
        <v>0.0032382104009700237</v>
      </c>
      <c r="V24" s="1">
        <v>0.015261782205427038</v>
      </c>
      <c r="W24" s="1">
        <v>0.014581373834168717</v>
      </c>
      <c r="X24" s="1">
        <v>0.005055945567068764</v>
      </c>
      <c r="Y24" s="1">
        <v>0.008743520380508244</v>
      </c>
      <c r="Z24" s="1">
        <v>0.004927789570821329</v>
      </c>
      <c r="AA24" s="1">
        <v>0.0013710563696930774</v>
      </c>
      <c r="AB24" s="1">
        <v>0.0022426587928557405</v>
      </c>
      <c r="AC24" s="1">
        <v>0.0025029349379456288</v>
      </c>
      <c r="AD24" s="1">
        <v>0.01768335429702586</v>
      </c>
      <c r="AE24" s="1">
        <v>0.007898643099895934</v>
      </c>
      <c r="AF24" s="1">
        <v>0.013509177119298617</v>
      </c>
      <c r="AG24" s="1">
        <v>0</v>
      </c>
      <c r="AH24" s="1">
        <v>1.2233872793270415E-07</v>
      </c>
      <c r="AI24" s="1">
        <v>0.006453453565775749</v>
      </c>
    </row>
    <row r="25" spans="1:35" ht="21" customHeight="1">
      <c r="A25" s="3">
        <v>23</v>
      </c>
      <c r="B25" s="1" t="s">
        <v>26</v>
      </c>
      <c r="C25" s="1">
        <v>0.030150055072443314</v>
      </c>
      <c r="D25" s="1">
        <v>0.03730907306594252</v>
      </c>
      <c r="E25" s="1">
        <v>0.023996142972221766</v>
      </c>
      <c r="F25" s="1">
        <v>0.021027020859154984</v>
      </c>
      <c r="G25" s="1">
        <v>0.029944369673686452</v>
      </c>
      <c r="H25" s="1">
        <v>0.031159636772047847</v>
      </c>
      <c r="I25" s="1">
        <v>0.03388835986961089</v>
      </c>
      <c r="J25" s="1">
        <v>0.06337771088438843</v>
      </c>
      <c r="K25" s="1">
        <v>0.03224859706887564</v>
      </c>
      <c r="L25" s="1">
        <v>0.016808981925060005</v>
      </c>
      <c r="M25" s="1">
        <v>0.02931054615354543</v>
      </c>
      <c r="N25" s="1">
        <v>0.015960897269161264</v>
      </c>
      <c r="O25" s="1">
        <v>0.015200927089380506</v>
      </c>
      <c r="P25" s="1">
        <v>0.015304006225150636</v>
      </c>
      <c r="Q25" s="1">
        <v>0.015516921698824172</v>
      </c>
      <c r="R25" s="1">
        <v>0.0243961939816331</v>
      </c>
      <c r="S25" s="1">
        <v>0.02333303919984679</v>
      </c>
      <c r="T25" s="1">
        <v>0.00962619427146037</v>
      </c>
      <c r="U25" s="1">
        <v>0.017251203852017866</v>
      </c>
      <c r="V25" s="1">
        <v>0.0367596385293594</v>
      </c>
      <c r="W25" s="1">
        <v>0.019240115654284625</v>
      </c>
      <c r="X25" s="1">
        <v>0.0008323523636794932</v>
      </c>
      <c r="Y25" s="1">
        <v>0.057116043165896996</v>
      </c>
      <c r="Z25" s="1">
        <v>0.014799748887188147</v>
      </c>
      <c r="AA25" s="1">
        <v>0.022809318704648664</v>
      </c>
      <c r="AB25" s="1">
        <v>0.019461930926046575</v>
      </c>
      <c r="AC25" s="1">
        <v>0.011487166188387058</v>
      </c>
      <c r="AD25" s="1">
        <v>0.02196178002278494</v>
      </c>
      <c r="AE25" s="1">
        <v>0.010843563458023616</v>
      </c>
      <c r="AF25" s="1">
        <v>0.019717475459029677</v>
      </c>
      <c r="AG25" s="1">
        <v>0.04621508071054766</v>
      </c>
      <c r="AH25" s="1">
        <v>0.0012404487817962615</v>
      </c>
      <c r="AI25" s="1">
        <v>0.021745410586787296</v>
      </c>
    </row>
    <row r="26" spans="1:35" ht="21" customHeight="1">
      <c r="A26" s="3">
        <v>24</v>
      </c>
      <c r="B26" s="1" t="s">
        <v>27</v>
      </c>
      <c r="C26" s="1">
        <v>0.0011032794676617164</v>
      </c>
      <c r="D26" s="1">
        <v>0.0025063307622815484</v>
      </c>
      <c r="E26" s="1">
        <v>0.0022297456706957624</v>
      </c>
      <c r="F26" s="1">
        <v>0.0022398322599676453</v>
      </c>
      <c r="G26" s="1">
        <v>0.0018434100846533511</v>
      </c>
      <c r="H26" s="1">
        <v>0.008306688625900728</v>
      </c>
      <c r="I26" s="1">
        <v>0.0022143293214537856</v>
      </c>
      <c r="J26" s="1">
        <v>0.0019668211790867898</v>
      </c>
      <c r="K26" s="1">
        <v>0.0012351586318574163</v>
      </c>
      <c r="L26" s="1">
        <v>0.0021797056601286138</v>
      </c>
      <c r="M26" s="1">
        <v>0.0040353560360479965</v>
      </c>
      <c r="N26" s="1">
        <v>0.0022443790748710485</v>
      </c>
      <c r="O26" s="1">
        <v>0.002188490950500325</v>
      </c>
      <c r="P26" s="1">
        <v>0.0010090297491282966</v>
      </c>
      <c r="Q26" s="1">
        <v>0.0033958004933596964</v>
      </c>
      <c r="R26" s="1">
        <v>0.00434607158081519</v>
      </c>
      <c r="S26" s="1">
        <v>0.005485045021255065</v>
      </c>
      <c r="T26" s="1">
        <v>0.007035974663744943</v>
      </c>
      <c r="U26" s="1">
        <v>0.007451416793238045</v>
      </c>
      <c r="V26" s="1">
        <v>0.030362869811550713</v>
      </c>
      <c r="W26" s="1">
        <v>0.024935704857753208</v>
      </c>
      <c r="X26" s="1">
        <v>0.00036671967600401085</v>
      </c>
      <c r="Y26" s="1">
        <v>0.006322935993319137</v>
      </c>
      <c r="Z26" s="1">
        <v>0.04007833155353916</v>
      </c>
      <c r="AA26" s="1">
        <v>0.01273822893266046</v>
      </c>
      <c r="AB26" s="1">
        <v>0.019208430381694508</v>
      </c>
      <c r="AC26" s="1">
        <v>0.005551604564417456</v>
      </c>
      <c r="AD26" s="1">
        <v>0.020522972635006437</v>
      </c>
      <c r="AE26" s="1">
        <v>0.036324570182756546</v>
      </c>
      <c r="AF26" s="1">
        <v>0.00819644991025789</v>
      </c>
      <c r="AG26" s="1">
        <v>0</v>
      </c>
      <c r="AH26" s="1">
        <v>0.0006875009972256242</v>
      </c>
      <c r="AI26" s="1">
        <v>0.012100688625811954</v>
      </c>
    </row>
    <row r="27" spans="1:35" ht="21" customHeight="1">
      <c r="A27" s="3">
        <v>25</v>
      </c>
      <c r="B27" s="1" t="s">
        <v>28</v>
      </c>
      <c r="C27" s="1">
        <v>0</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0.22065873800294372</v>
      </c>
      <c r="AI27" s="1">
        <v>0.0013175052634596372</v>
      </c>
    </row>
    <row r="28" spans="1:35" ht="21" customHeight="1">
      <c r="A28" s="3">
        <v>26</v>
      </c>
      <c r="B28" s="1" t="s">
        <v>29</v>
      </c>
      <c r="C28" s="1">
        <v>0.0008658679478723037</v>
      </c>
      <c r="D28" s="1">
        <v>6.281852038455033E-05</v>
      </c>
      <c r="E28" s="1">
        <v>0.003457087233739172</v>
      </c>
      <c r="F28" s="1">
        <v>0.003804325203358442</v>
      </c>
      <c r="G28" s="1">
        <v>0.00498654267797144</v>
      </c>
      <c r="H28" s="1">
        <v>0.08449972603193348</v>
      </c>
      <c r="I28" s="1">
        <v>0.004620787129168681</v>
      </c>
      <c r="J28" s="1">
        <v>0.015152675890321822</v>
      </c>
      <c r="K28" s="1">
        <v>0.005288166732338372</v>
      </c>
      <c r="L28" s="1">
        <v>0.009203427915722871</v>
      </c>
      <c r="M28" s="1">
        <v>0.007766785590341164</v>
      </c>
      <c r="N28" s="1">
        <v>0.02556846459848773</v>
      </c>
      <c r="O28" s="1">
        <v>0.08380808938978342</v>
      </c>
      <c r="P28" s="1">
        <v>0.02056742859348221</v>
      </c>
      <c r="Q28" s="1">
        <v>0.07171270347435303</v>
      </c>
      <c r="R28" s="1">
        <v>0.006221584996586779</v>
      </c>
      <c r="S28" s="1">
        <v>0.002024257012761153</v>
      </c>
      <c r="T28" s="1">
        <v>0.02570557007454252</v>
      </c>
      <c r="U28" s="1">
        <v>0.00020868907277033028</v>
      </c>
      <c r="V28" s="1">
        <v>0.0006666132925525898</v>
      </c>
      <c r="W28" s="1">
        <v>0.0004165684556790572</v>
      </c>
      <c r="X28" s="1">
        <v>2.291797653145903E-06</v>
      </c>
      <c r="Y28" s="1">
        <v>0.0024739815283936254</v>
      </c>
      <c r="Z28" s="1">
        <v>0.02057196103886828</v>
      </c>
      <c r="AA28" s="1">
        <v>0.0002374784965943372</v>
      </c>
      <c r="AB28" s="1">
        <v>1.3302259202673403E-06</v>
      </c>
      <c r="AC28" s="1">
        <v>0.0001812018089900828</v>
      </c>
      <c r="AD28" s="1">
        <v>8.681460505501876E-07</v>
      </c>
      <c r="AE28" s="1">
        <v>0.0008794706862939866</v>
      </c>
      <c r="AF28" s="1">
        <v>0.00021631920160381958</v>
      </c>
      <c r="AG28" s="1">
        <v>0</v>
      </c>
      <c r="AH28" s="1">
        <v>0.05843060505862247</v>
      </c>
      <c r="AI28" s="1">
        <v>0.011431373253220165</v>
      </c>
    </row>
    <row r="29" spans="1:35" ht="21" customHeight="1">
      <c r="A29" s="3">
        <v>27</v>
      </c>
      <c r="B29" s="1" t="s">
        <v>30</v>
      </c>
      <c r="C29" s="1">
        <v>0</v>
      </c>
      <c r="D29" s="1">
        <v>0</v>
      </c>
      <c r="E29" s="1">
        <v>0</v>
      </c>
      <c r="F29" s="1">
        <v>0</v>
      </c>
      <c r="G29" s="1">
        <v>5.772399296944238E-07</v>
      </c>
      <c r="H29" s="1">
        <v>1.418025083502494E-05</v>
      </c>
      <c r="I29" s="1">
        <v>0</v>
      </c>
      <c r="J29" s="1">
        <v>0</v>
      </c>
      <c r="K29" s="1">
        <v>4.605526794255734E-07</v>
      </c>
      <c r="L29" s="1">
        <v>0</v>
      </c>
      <c r="M29" s="1">
        <v>0</v>
      </c>
      <c r="N29" s="1">
        <v>0</v>
      </c>
      <c r="O29" s="1">
        <v>0</v>
      </c>
      <c r="P29" s="1">
        <v>0</v>
      </c>
      <c r="Q29" s="1">
        <v>0</v>
      </c>
      <c r="R29" s="1">
        <v>1.4337949786229313E-06</v>
      </c>
      <c r="S29" s="1">
        <v>2.2748348483709617E-07</v>
      </c>
      <c r="T29" s="1">
        <v>6.772739117075193E-06</v>
      </c>
      <c r="U29" s="1">
        <v>2.280876311671126E-05</v>
      </c>
      <c r="V29" s="1">
        <v>7.649212159859743E-06</v>
      </c>
      <c r="W29" s="1">
        <v>1.2890824847381768E-05</v>
      </c>
      <c r="X29" s="1">
        <v>1.2472083508462718E-06</v>
      </c>
      <c r="Y29" s="1">
        <v>1.9995170210850396E-05</v>
      </c>
      <c r="Z29" s="1">
        <v>2.7671064873698464E-05</v>
      </c>
      <c r="AA29" s="1">
        <v>3.74691456579841E-06</v>
      </c>
      <c r="AB29" s="1">
        <v>4.393990608689134E-06</v>
      </c>
      <c r="AC29" s="1">
        <v>0.0020557059771789156</v>
      </c>
      <c r="AD29" s="1">
        <v>5.4982583201511885E-06</v>
      </c>
      <c r="AE29" s="1">
        <v>4.050262382817834E-06</v>
      </c>
      <c r="AF29" s="1">
        <v>1.431368013836103E-05</v>
      </c>
      <c r="AG29" s="1">
        <v>0</v>
      </c>
      <c r="AH29" s="1">
        <v>0.2171824568748401</v>
      </c>
      <c r="AI29" s="1">
        <v>0.001398842633267994</v>
      </c>
    </row>
    <row r="30" spans="1:35" ht="21" customHeight="1">
      <c r="A30" s="3">
        <v>28</v>
      </c>
      <c r="B30" s="1" t="s">
        <v>31</v>
      </c>
      <c r="C30" s="1">
        <v>0.0002998710214158163</v>
      </c>
      <c r="D30" s="1">
        <v>0.0010486846872359624</v>
      </c>
      <c r="E30" s="1">
        <v>0.0008105524992730604</v>
      </c>
      <c r="F30" s="1">
        <v>0.0008676226506791415</v>
      </c>
      <c r="G30" s="1">
        <v>0.0008605268381531917</v>
      </c>
      <c r="H30" s="1">
        <v>0.0023594031143974415</v>
      </c>
      <c r="I30" s="1">
        <v>0.0007743360203856798</v>
      </c>
      <c r="J30" s="1">
        <v>0.0012858990522512344</v>
      </c>
      <c r="K30" s="1">
        <v>0.0007258320496687189</v>
      </c>
      <c r="L30" s="1">
        <v>0.00041283075440548935</v>
      </c>
      <c r="M30" s="1">
        <v>0.0017572092527336754</v>
      </c>
      <c r="N30" s="1">
        <v>0.0012662272311380189</v>
      </c>
      <c r="O30" s="1">
        <v>0.0006013829432500855</v>
      </c>
      <c r="P30" s="1">
        <v>0.00022107935183716197</v>
      </c>
      <c r="Q30" s="1">
        <v>0.00022009818012516555</v>
      </c>
      <c r="R30" s="1">
        <v>0.001075037206936926</v>
      </c>
      <c r="S30" s="1">
        <v>0.0012681116526809379</v>
      </c>
      <c r="T30" s="1">
        <v>0.003748880972747661</v>
      </c>
      <c r="U30" s="1">
        <v>0.011437841982381701</v>
      </c>
      <c r="V30" s="1">
        <v>0.0008249955163634093</v>
      </c>
      <c r="W30" s="1">
        <v>0.0032020643122505996</v>
      </c>
      <c r="X30" s="1">
        <v>0.00021809333303646357</v>
      </c>
      <c r="Y30" s="1">
        <v>0.0014738801290326315</v>
      </c>
      <c r="Z30" s="1">
        <v>0.001229402100365292</v>
      </c>
      <c r="AA30" s="1">
        <v>6.40295527066817E-06</v>
      </c>
      <c r="AB30" s="1">
        <v>0.0015345994486378521</v>
      </c>
      <c r="AC30" s="1">
        <v>0.0010805541328606772</v>
      </c>
      <c r="AD30" s="1">
        <v>0</v>
      </c>
      <c r="AE30" s="1">
        <v>0.0020917875851628022</v>
      </c>
      <c r="AF30" s="1">
        <v>0.0033700253827251936</v>
      </c>
      <c r="AG30" s="1">
        <v>0</v>
      </c>
      <c r="AH30" s="1">
        <v>0.00015374740293285958</v>
      </c>
      <c r="AI30" s="1">
        <v>0.0014203731347422308</v>
      </c>
    </row>
    <row r="31" spans="1:35" ht="21" customHeight="1">
      <c r="A31" s="3">
        <v>29</v>
      </c>
      <c r="B31" s="1" t="s">
        <v>32</v>
      </c>
      <c r="C31" s="1">
        <v>0.02752642072374755</v>
      </c>
      <c r="D31" s="1">
        <v>0.1515874997410204</v>
      </c>
      <c r="E31" s="1">
        <v>0.038520700371912825</v>
      </c>
      <c r="F31" s="1">
        <v>0.02519404506033945</v>
      </c>
      <c r="G31" s="1">
        <v>0.027555251679000182</v>
      </c>
      <c r="H31" s="1">
        <v>0.05984808270188778</v>
      </c>
      <c r="I31" s="1">
        <v>0.02787027465854323</v>
      </c>
      <c r="J31" s="1">
        <v>0.04435345450635741</v>
      </c>
      <c r="K31" s="1">
        <v>0.028835346019467124</v>
      </c>
      <c r="L31" s="1">
        <v>0.02659576871198965</v>
      </c>
      <c r="M31" s="1">
        <v>0.04851186735561622</v>
      </c>
      <c r="N31" s="1">
        <v>0.044404458331911284</v>
      </c>
      <c r="O31" s="1">
        <v>0.04715837060594429</v>
      </c>
      <c r="P31" s="1">
        <v>0.029885190996719598</v>
      </c>
      <c r="Q31" s="1">
        <v>0.04533236445649391</v>
      </c>
      <c r="R31" s="1">
        <v>0.039164977528557125</v>
      </c>
      <c r="S31" s="1">
        <v>0.08705129627865663</v>
      </c>
      <c r="T31" s="1">
        <v>0.20282347261981976</v>
      </c>
      <c r="U31" s="1">
        <v>0.07120355105412468</v>
      </c>
      <c r="V31" s="1">
        <v>0.08547329169374074</v>
      </c>
      <c r="W31" s="1">
        <v>0.12214097992491806</v>
      </c>
      <c r="X31" s="1">
        <v>0.013974219046390493</v>
      </c>
      <c r="Y31" s="1">
        <v>0.06773233498692603</v>
      </c>
      <c r="Z31" s="1">
        <v>0.07052654348865084</v>
      </c>
      <c r="AA31" s="1">
        <v>0.08475800580695982</v>
      </c>
      <c r="AB31" s="1">
        <v>0.08052858852069215</v>
      </c>
      <c r="AC31" s="1">
        <v>0.040704560566077616</v>
      </c>
      <c r="AD31" s="1">
        <v>0.08702238134311709</v>
      </c>
      <c r="AE31" s="1">
        <v>0.10793768690862819</v>
      </c>
      <c r="AF31" s="1">
        <v>0.03991498340004897</v>
      </c>
      <c r="AG31" s="1">
        <v>0</v>
      </c>
      <c r="AH31" s="1">
        <v>0.00030381107237804656</v>
      </c>
      <c r="AI31" s="1">
        <v>0.06539809633669856</v>
      </c>
    </row>
    <row r="32" spans="1:35" ht="21" customHeight="1">
      <c r="A32" s="3">
        <v>30</v>
      </c>
      <c r="B32" s="1" t="s">
        <v>33</v>
      </c>
      <c r="C32" s="1">
        <v>0.0006093390631450385</v>
      </c>
      <c r="D32" s="1">
        <v>0.0002416590018875048</v>
      </c>
      <c r="E32" s="1">
        <v>0.0002593054126762755</v>
      </c>
      <c r="F32" s="1">
        <v>0.00019710194203458015</v>
      </c>
      <c r="G32" s="1">
        <v>0.00023480686008503198</v>
      </c>
      <c r="H32" s="1">
        <v>0.000268413444752231</v>
      </c>
      <c r="I32" s="1">
        <v>0.00023870508899107425</v>
      </c>
      <c r="J32" s="1">
        <v>0.0002378303283387493</v>
      </c>
      <c r="K32" s="1">
        <v>0.00023998578470396748</v>
      </c>
      <c r="L32" s="1">
        <v>0.0002173597190273045</v>
      </c>
      <c r="M32" s="1">
        <v>0.00028568501020842166</v>
      </c>
      <c r="N32" s="1">
        <v>0.00026019076982726144</v>
      </c>
      <c r="O32" s="1">
        <v>0.00047983776688260705</v>
      </c>
      <c r="P32" s="1">
        <v>0.00021393931019955488</v>
      </c>
      <c r="Q32" s="1">
        <v>0.00026726207586627246</v>
      </c>
      <c r="R32" s="1">
        <v>0.0005777012915945211</v>
      </c>
      <c r="S32" s="1">
        <v>0.00040826100381637315</v>
      </c>
      <c r="T32" s="1">
        <v>0.002368876068722114</v>
      </c>
      <c r="U32" s="1">
        <v>0.0006104127024819557</v>
      </c>
      <c r="V32" s="1">
        <v>0.0024472255059344444</v>
      </c>
      <c r="W32" s="1">
        <v>0.0007584447365189442</v>
      </c>
      <c r="X32" s="1">
        <v>0.0006806221952152049</v>
      </c>
      <c r="Y32" s="1">
        <v>0.0008695944575207998</v>
      </c>
      <c r="Z32" s="1">
        <v>0.03440683325053414</v>
      </c>
      <c r="AA32" s="1">
        <v>0.0016538596317644374</v>
      </c>
      <c r="AB32" s="1">
        <v>0.0023003855343254956</v>
      </c>
      <c r="AC32" s="1">
        <v>0.01184206794204096</v>
      </c>
      <c r="AD32" s="1">
        <v>0.004483106205041168</v>
      </c>
      <c r="AE32" s="1">
        <v>0.0050893809580796374</v>
      </c>
      <c r="AF32" s="1">
        <v>0.01424768525274145</v>
      </c>
      <c r="AG32" s="1">
        <v>0</v>
      </c>
      <c r="AH32" s="1">
        <v>2.946986790138039E-05</v>
      </c>
      <c r="AI32" s="1">
        <v>0.0036713109760010292</v>
      </c>
    </row>
    <row r="33" spans="1:35" ht="21" customHeight="1">
      <c r="A33" s="3">
        <v>31</v>
      </c>
      <c r="B33" s="1" t="s">
        <v>34</v>
      </c>
      <c r="C33" s="1">
        <v>0.0008598217564102852</v>
      </c>
      <c r="D33" s="1">
        <v>0.0011946375447740376</v>
      </c>
      <c r="E33" s="1">
        <v>0.0011108334010630314</v>
      </c>
      <c r="F33" s="1">
        <v>0.0023388763989819223</v>
      </c>
      <c r="G33" s="1">
        <v>0.0013577693335408763</v>
      </c>
      <c r="H33" s="1">
        <v>0.0006885870670255312</v>
      </c>
      <c r="I33" s="1">
        <v>0.00048748271059633396</v>
      </c>
      <c r="J33" s="1">
        <v>0.0018602769450270507</v>
      </c>
      <c r="K33" s="1">
        <v>0.0007239456083449038</v>
      </c>
      <c r="L33" s="1">
        <v>0.0006031837859135314</v>
      </c>
      <c r="M33" s="1">
        <v>0.0020248617143893573</v>
      </c>
      <c r="N33" s="1">
        <v>0.001207369530227754</v>
      </c>
      <c r="O33" s="1">
        <v>0.001132344480026775</v>
      </c>
      <c r="P33" s="1">
        <v>0.0006952700901596583</v>
      </c>
      <c r="Q33" s="1">
        <v>0.0018844942699386654</v>
      </c>
      <c r="R33" s="1">
        <v>0.001858283376543431</v>
      </c>
      <c r="S33" s="1">
        <v>0.0005657601129014054</v>
      </c>
      <c r="T33" s="1">
        <v>0.0008960050141337464</v>
      </c>
      <c r="U33" s="1">
        <v>0.00122573977880401</v>
      </c>
      <c r="V33" s="1">
        <v>0.0038842741681619263</v>
      </c>
      <c r="W33" s="1">
        <v>0.005142161255432274</v>
      </c>
      <c r="X33" s="1">
        <v>0.00028384841410545615</v>
      </c>
      <c r="Y33" s="1">
        <v>0.0018481705278932115</v>
      </c>
      <c r="Z33" s="1">
        <v>0.0016267609834026994</v>
      </c>
      <c r="AA33" s="1">
        <v>0.001963599953159982</v>
      </c>
      <c r="AB33" s="1">
        <v>0.004782105939439257</v>
      </c>
      <c r="AC33" s="1">
        <v>0.0021242989859169004</v>
      </c>
      <c r="AD33" s="1">
        <v>0.006163619130866102</v>
      </c>
      <c r="AE33" s="1">
        <v>0.0021223214537472233</v>
      </c>
      <c r="AF33" s="1">
        <v>0.002241591876273131</v>
      </c>
      <c r="AG33" s="1">
        <v>0</v>
      </c>
      <c r="AH33" s="1">
        <v>0.0023024975821250033</v>
      </c>
      <c r="AI33" s="1">
        <v>0.002009252269266616</v>
      </c>
    </row>
    <row r="34" spans="1:35" ht="21" customHeight="1">
      <c r="A34" s="3">
        <v>32</v>
      </c>
      <c r="B34" s="1" t="s">
        <v>35</v>
      </c>
      <c r="C34" s="1">
        <v>0.005819288172149745</v>
      </c>
      <c r="D34" s="1">
        <v>0.014696328743434541</v>
      </c>
      <c r="E34" s="1">
        <v>0.0025076477325425024</v>
      </c>
      <c r="F34" s="1">
        <v>0.006823480374853278</v>
      </c>
      <c r="G34" s="1">
        <v>0.008489656424125625</v>
      </c>
      <c r="H34" s="1">
        <v>0.007417207715342093</v>
      </c>
      <c r="I34" s="1">
        <v>0.020936182927119584</v>
      </c>
      <c r="J34" s="1">
        <v>0.02612010243114105</v>
      </c>
      <c r="K34" s="1">
        <v>0.007540975657440375</v>
      </c>
      <c r="L34" s="1">
        <v>0.004343631106463676</v>
      </c>
      <c r="M34" s="1">
        <v>0.012465272242666213</v>
      </c>
      <c r="N34" s="1">
        <v>0.006379628511107005</v>
      </c>
      <c r="O34" s="1">
        <v>0.006613882232503603</v>
      </c>
      <c r="P34" s="1">
        <v>0.002956455340034599</v>
      </c>
      <c r="Q34" s="1">
        <v>0.007444034877804706</v>
      </c>
      <c r="R34" s="1">
        <v>0.006499401704060111</v>
      </c>
      <c r="S34" s="1">
        <v>0.015728201814625673</v>
      </c>
      <c r="T34" s="1">
        <v>0.005653395097043037</v>
      </c>
      <c r="U34" s="1">
        <v>0.011082683470217068</v>
      </c>
      <c r="V34" s="1">
        <v>0.001242356432194716</v>
      </c>
      <c r="W34" s="1">
        <v>0.0026899959837472093</v>
      </c>
      <c r="X34" s="1">
        <v>0.009308275546789042</v>
      </c>
      <c r="Y34" s="1">
        <v>0.00552462732041879</v>
      </c>
      <c r="Z34" s="1">
        <v>0.0030737035626847127</v>
      </c>
      <c r="AA34" s="1">
        <v>0.001438910051863192</v>
      </c>
      <c r="AB34" s="1">
        <v>0.005155837195178312</v>
      </c>
      <c r="AC34" s="1">
        <v>0.0032439570020730167</v>
      </c>
      <c r="AD34" s="1">
        <v>0.02183532008142147</v>
      </c>
      <c r="AE34" s="1">
        <v>0.004213124508549121</v>
      </c>
      <c r="AF34" s="1">
        <v>0.011304564647406833</v>
      </c>
      <c r="AG34" s="1">
        <v>0.00736037509804849</v>
      </c>
      <c r="AH34" s="1">
        <v>0</v>
      </c>
      <c r="AI34" s="1">
        <v>0.006696846499602566</v>
      </c>
    </row>
    <row r="35" s="2" customFormat="1" ht="19.5" customHeight="1">
      <c r="A35" s="5"/>
    </row>
  </sheetData>
  <printOptions/>
  <pageMargins left="0.7874015748031497" right="0.7874015748031497" top="0.984251968503937" bottom="0.984251968503937" header="0.5118110236220472" footer="0.5118110236220472"/>
  <pageSetup fitToWidth="2" fitToHeight="1" horizontalDpi="300" verticalDpi="300" orientation="landscape" paperSize="12" scale="76" r:id="rId1"/>
  <headerFooter alignWithMargins="0">
    <oddHeader>&amp;LFILE=&amp;F,SHEET=&amp;A</oddHeader>
    <oddFooter>&amp;C&amp;P/&amp;N㌻</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AH36"/>
  <sheetViews>
    <sheetView showGridLines="0" workbookViewId="0" topLeftCell="A1">
      <selection activeCell="A1" sqref="A1"/>
    </sheetView>
  </sheetViews>
  <sheetFormatPr defaultColWidth="8.796875" defaultRowHeight="19.5" customHeight="1"/>
  <cols>
    <col min="1" max="1" width="4.09765625" style="3" customWidth="1"/>
    <col min="2" max="2" width="19.09765625" style="1" customWidth="1"/>
    <col min="3" max="16384" width="10.59765625" style="1" customWidth="1"/>
  </cols>
  <sheetData>
    <row r="1" spans="2:34" s="6" customFormat="1" ht="21" customHeight="1">
      <c r="B1" s="9" t="s">
        <v>41</v>
      </c>
      <c r="C1" s="6">
        <v>1</v>
      </c>
      <c r="D1" s="6">
        <v>2</v>
      </c>
      <c r="E1" s="6">
        <v>3</v>
      </c>
      <c r="F1" s="6">
        <v>4</v>
      </c>
      <c r="G1" s="6">
        <v>5</v>
      </c>
      <c r="H1" s="6">
        <v>6</v>
      </c>
      <c r="I1" s="6">
        <v>7</v>
      </c>
      <c r="J1" s="6">
        <v>8</v>
      </c>
      <c r="K1" s="6">
        <v>9</v>
      </c>
      <c r="L1" s="6">
        <v>10</v>
      </c>
      <c r="M1" s="6">
        <v>11</v>
      </c>
      <c r="N1" s="6">
        <v>12</v>
      </c>
      <c r="O1" s="6">
        <v>13</v>
      </c>
      <c r="P1" s="6">
        <v>14</v>
      </c>
      <c r="Q1" s="6">
        <v>15</v>
      </c>
      <c r="R1" s="6">
        <v>16</v>
      </c>
      <c r="S1" s="6">
        <v>17</v>
      </c>
      <c r="T1" s="6">
        <v>18</v>
      </c>
      <c r="U1" s="6">
        <v>19</v>
      </c>
      <c r="V1" s="6">
        <v>20</v>
      </c>
      <c r="W1" s="6">
        <v>21</v>
      </c>
      <c r="X1" s="6">
        <v>22</v>
      </c>
      <c r="Y1" s="6">
        <v>23</v>
      </c>
      <c r="Z1" s="6">
        <v>24</v>
      </c>
      <c r="AA1" s="6">
        <v>25</v>
      </c>
      <c r="AB1" s="6">
        <v>26</v>
      </c>
      <c r="AC1" s="6">
        <v>27</v>
      </c>
      <c r="AD1" s="6">
        <v>28</v>
      </c>
      <c r="AE1" s="6">
        <v>29</v>
      </c>
      <c r="AF1" s="6">
        <v>30</v>
      </c>
      <c r="AG1" s="6">
        <v>31</v>
      </c>
      <c r="AH1" s="6">
        <v>32</v>
      </c>
    </row>
    <row r="2" spans="1:34" s="4" customFormat="1" ht="27">
      <c r="A2" s="6"/>
      <c r="C2" s="4" t="s">
        <v>4</v>
      </c>
      <c r="D2" s="4" t="s">
        <v>5</v>
      </c>
      <c r="E2" s="4" t="s">
        <v>6</v>
      </c>
      <c r="F2" s="4" t="s">
        <v>7</v>
      </c>
      <c r="G2" s="8" t="s">
        <v>8</v>
      </c>
      <c r="H2" s="4" t="s">
        <v>9</v>
      </c>
      <c r="I2" s="4" t="s">
        <v>10</v>
      </c>
      <c r="J2" s="4" t="s">
        <v>11</v>
      </c>
      <c r="K2" s="4" t="s">
        <v>12</v>
      </c>
      <c r="L2" s="4" t="s">
        <v>13</v>
      </c>
      <c r="M2" s="4" t="s">
        <v>14</v>
      </c>
      <c r="N2" s="4" t="s">
        <v>15</v>
      </c>
      <c r="O2" s="4" t="s">
        <v>16</v>
      </c>
      <c r="P2" s="4" t="s">
        <v>17</v>
      </c>
      <c r="Q2" s="4" t="s">
        <v>18</v>
      </c>
      <c r="R2" s="4" t="s">
        <v>19</v>
      </c>
      <c r="S2" s="4" t="s">
        <v>20</v>
      </c>
      <c r="T2" s="4" t="s">
        <v>38</v>
      </c>
      <c r="U2" s="4" t="s">
        <v>22</v>
      </c>
      <c r="V2" s="4" t="s">
        <v>23</v>
      </c>
      <c r="W2" s="4" t="s">
        <v>24</v>
      </c>
      <c r="X2" s="4" t="s">
        <v>25</v>
      </c>
      <c r="Y2" s="4" t="s">
        <v>26</v>
      </c>
      <c r="Z2" s="4" t="s">
        <v>27</v>
      </c>
      <c r="AA2" s="4" t="s">
        <v>28</v>
      </c>
      <c r="AB2" s="4" t="s">
        <v>29</v>
      </c>
      <c r="AC2" s="4" t="s">
        <v>30</v>
      </c>
      <c r="AD2" s="4" t="s">
        <v>31</v>
      </c>
      <c r="AE2" s="4" t="s">
        <v>32</v>
      </c>
      <c r="AF2" s="4" t="s">
        <v>33</v>
      </c>
      <c r="AG2" s="4" t="s">
        <v>34</v>
      </c>
      <c r="AH2" s="4" t="s">
        <v>35</v>
      </c>
    </row>
    <row r="3" spans="1:34" ht="21" customHeight="1">
      <c r="A3" s="3">
        <v>1</v>
      </c>
      <c r="B3" s="1" t="s">
        <v>4</v>
      </c>
      <c r="C3" s="1">
        <v>1.0397997312290619</v>
      </c>
      <c r="D3" s="1">
        <v>0.00015001718317368288</v>
      </c>
      <c r="E3" s="1">
        <v>0.07869776977120278</v>
      </c>
      <c r="F3" s="1">
        <v>0.004458658739638018</v>
      </c>
      <c r="G3" s="1">
        <v>0.03807144101326265</v>
      </c>
      <c r="H3" s="1">
        <v>0.0017059467704796758</v>
      </c>
      <c r="I3" s="1">
        <v>0.0004274530178552508</v>
      </c>
      <c r="J3" s="1">
        <v>0.0006332409470276057</v>
      </c>
      <c r="K3" s="1">
        <v>0.000304316936523653</v>
      </c>
      <c r="L3" s="1">
        <v>0.00012193249669714848</v>
      </c>
      <c r="M3" s="1">
        <v>0.00017174538309833032</v>
      </c>
      <c r="N3" s="1">
        <v>0.00014492995133756826</v>
      </c>
      <c r="O3" s="1">
        <v>0.00033440345692095847</v>
      </c>
      <c r="P3" s="1">
        <v>0.0001480063073246355</v>
      </c>
      <c r="Q3" s="1">
        <v>0.00035415982166042464</v>
      </c>
      <c r="R3" s="1">
        <v>0.0037801068382665114</v>
      </c>
      <c r="S3" s="1">
        <v>0.0013967674381466263</v>
      </c>
      <c r="T3" s="1">
        <v>0.00018648545247393027</v>
      </c>
      <c r="U3" s="1">
        <v>0.0001827129059590136</v>
      </c>
      <c r="V3" s="1">
        <v>0.0003108583597506801</v>
      </c>
      <c r="W3" s="1">
        <v>0.0001833071643091294</v>
      </c>
      <c r="X3" s="1">
        <v>0.00010975374502114562</v>
      </c>
      <c r="Y3" s="1">
        <v>0.00018417837956047426</v>
      </c>
      <c r="Z3" s="1">
        <v>0.00036349504800579696</v>
      </c>
      <c r="AA3" s="1">
        <v>0.00019106797123676945</v>
      </c>
      <c r="AB3" s="1">
        <v>0.001885817036362753</v>
      </c>
      <c r="AC3" s="1">
        <v>0.002855232336176872</v>
      </c>
      <c r="AD3" s="1">
        <v>0.0004974039557806024</v>
      </c>
      <c r="AE3" s="1">
        <v>0.0002259626466528645</v>
      </c>
      <c r="AF3" s="1">
        <v>0.008634622984583227</v>
      </c>
      <c r="AG3" s="1">
        <v>0.005777365937454742</v>
      </c>
      <c r="AH3" s="1">
        <v>0.0010838717824720682</v>
      </c>
    </row>
    <row r="4" spans="1:34" ht="21" customHeight="1">
      <c r="A4" s="3">
        <v>2</v>
      </c>
      <c r="B4" s="1" t="s">
        <v>5</v>
      </c>
      <c r="C4" s="1">
        <v>0.00014227272882649065</v>
      </c>
      <c r="D4" s="1">
        <v>1.0005054390826162</v>
      </c>
      <c r="E4" s="1">
        <v>0.00016789507216876472</v>
      </c>
      <c r="F4" s="1">
        <v>0.0001857858892592985</v>
      </c>
      <c r="G4" s="1">
        <v>0.00044318705616472505</v>
      </c>
      <c r="H4" s="1">
        <v>0.0011316041601754873</v>
      </c>
      <c r="I4" s="1">
        <v>0.04910434844398933</v>
      </c>
      <c r="J4" s="1">
        <v>0.05282195681139941</v>
      </c>
      <c r="K4" s="1">
        <v>0.0007205210103145134</v>
      </c>
      <c r="L4" s="1">
        <v>0.0029079258003657507</v>
      </c>
      <c r="M4" s="1">
        <v>0.00030876090198477836</v>
      </c>
      <c r="N4" s="1">
        <v>0.00020503144249198603</v>
      </c>
      <c r="O4" s="1">
        <v>0.0002614225005407952</v>
      </c>
      <c r="P4" s="1">
        <v>0.00010241024084962111</v>
      </c>
      <c r="Q4" s="1">
        <v>0.00025928662021046123</v>
      </c>
      <c r="R4" s="1">
        <v>0.00048339232883836303</v>
      </c>
      <c r="S4" s="1">
        <v>0.010410911084089473</v>
      </c>
      <c r="T4" s="1">
        <v>0.0021800418930120625</v>
      </c>
      <c r="U4" s="1">
        <v>0.0005940095305265389</v>
      </c>
      <c r="V4" s="1">
        <v>0.00011341935368650774</v>
      </c>
      <c r="W4" s="1">
        <v>9.247790399363615E-05</v>
      </c>
      <c r="X4" s="1">
        <v>0.0005293096439802307</v>
      </c>
      <c r="Y4" s="1">
        <v>0.00022337586805191038</v>
      </c>
      <c r="Z4" s="1">
        <v>8.037709432082935E-05</v>
      </c>
      <c r="AA4" s="1">
        <v>0.00022087303562087226</v>
      </c>
      <c r="AB4" s="1">
        <v>0.0005023105423616744</v>
      </c>
      <c r="AC4" s="1">
        <v>0.00017794083836680143</v>
      </c>
      <c r="AD4" s="1">
        <v>0.00012094531028751957</v>
      </c>
      <c r="AE4" s="1">
        <v>0.00010437640019541343</v>
      </c>
      <c r="AF4" s="1">
        <v>0.0002209688443485251</v>
      </c>
      <c r="AG4" s="1">
        <v>0.0001367109560857156</v>
      </c>
      <c r="AH4" s="1">
        <v>0.0012808216401362753</v>
      </c>
    </row>
    <row r="5" spans="1:34" ht="21" customHeight="1">
      <c r="A5" s="3">
        <v>3</v>
      </c>
      <c r="B5" s="1" t="s">
        <v>6</v>
      </c>
      <c r="C5" s="1">
        <v>0.01814799337485366</v>
      </c>
      <c r="D5" s="1">
        <v>0.00010058590322186765</v>
      </c>
      <c r="E5" s="1">
        <v>1.0366539039086644</v>
      </c>
      <c r="F5" s="1">
        <v>0.00037033728651768066</v>
      </c>
      <c r="G5" s="1">
        <v>0.0009438400987271408</v>
      </c>
      <c r="H5" s="1">
        <v>0.0035003289153243307</v>
      </c>
      <c r="I5" s="1">
        <v>0.00018304803730102417</v>
      </c>
      <c r="J5" s="1">
        <v>0.0004576561479859993</v>
      </c>
      <c r="K5" s="1">
        <v>0.00013319149547504048</v>
      </c>
      <c r="L5" s="1">
        <v>0.00016092137881318586</v>
      </c>
      <c r="M5" s="1">
        <v>0.00017654777893470243</v>
      </c>
      <c r="N5" s="1">
        <v>0.00039749644022493783</v>
      </c>
      <c r="O5" s="1">
        <v>0.001350469436093812</v>
      </c>
      <c r="P5" s="1">
        <v>0.0003544112760884351</v>
      </c>
      <c r="Q5" s="1">
        <v>0.0010059232410192364</v>
      </c>
      <c r="R5" s="1">
        <v>0.00030730577759318685</v>
      </c>
      <c r="S5" s="1">
        <v>0.0001567261676561325</v>
      </c>
      <c r="T5" s="1">
        <v>0.00044141328955987676</v>
      </c>
      <c r="U5" s="1">
        <v>0.0001136240676213981</v>
      </c>
      <c r="V5" s="1">
        <v>0.0002027069217345364</v>
      </c>
      <c r="W5" s="1">
        <v>0.00010082596925808774</v>
      </c>
      <c r="X5" s="1">
        <v>5.247651979560012E-05</v>
      </c>
      <c r="Y5" s="1">
        <v>0.00011136446635489375</v>
      </c>
      <c r="Z5" s="1">
        <v>0.0011531195539611747</v>
      </c>
      <c r="AA5" s="1">
        <v>0.00021388216089143937</v>
      </c>
      <c r="AB5" s="1">
        <v>0.014486728610848161</v>
      </c>
      <c r="AC5" s="1">
        <v>0.005901099756168549</v>
      </c>
      <c r="AD5" s="1">
        <v>0.00021851504285723454</v>
      </c>
      <c r="AE5" s="1">
        <v>0.00024397541555359466</v>
      </c>
      <c r="AF5" s="1">
        <v>0.030492469516419218</v>
      </c>
      <c r="AG5" s="1">
        <v>0.0002601457099012199</v>
      </c>
      <c r="AH5" s="1">
        <v>0.0020517821530880134</v>
      </c>
    </row>
    <row r="6" spans="1:34" ht="21" customHeight="1">
      <c r="A6" s="3">
        <v>4</v>
      </c>
      <c r="B6" s="1" t="s">
        <v>7</v>
      </c>
      <c r="C6" s="1">
        <v>0.0014902596425914745</v>
      </c>
      <c r="D6" s="1">
        <v>0.0004808800038923862</v>
      </c>
      <c r="E6" s="1">
        <v>0.00030771753700199213</v>
      </c>
      <c r="F6" s="1">
        <v>1.0311440424157503</v>
      </c>
      <c r="G6" s="1">
        <v>0.001251235714157459</v>
      </c>
      <c r="H6" s="1">
        <v>0.0003231014877008947</v>
      </c>
      <c r="I6" s="1">
        <v>0.0013895120391974056</v>
      </c>
      <c r="J6" s="1">
        <v>0.0005720980062304976</v>
      </c>
      <c r="K6" s="1">
        <v>0.000162710225372747</v>
      </c>
      <c r="L6" s="1">
        <v>0.00014536856158524778</v>
      </c>
      <c r="M6" s="1">
        <v>0.00025885389256468354</v>
      </c>
      <c r="N6" s="1">
        <v>0.00020015186114873988</v>
      </c>
      <c r="O6" s="1">
        <v>0.00034625829194501754</v>
      </c>
      <c r="P6" s="1">
        <v>0.00018390279437014754</v>
      </c>
      <c r="Q6" s="1">
        <v>0.0004477546157651416</v>
      </c>
      <c r="R6" s="1">
        <v>0.001002891189352934</v>
      </c>
      <c r="S6" s="1">
        <v>0.0003737613361401724</v>
      </c>
      <c r="T6" s="1">
        <v>0.00027668483370142</v>
      </c>
      <c r="U6" s="1">
        <v>0.00037428933869200227</v>
      </c>
      <c r="V6" s="1">
        <v>0.000604195810719314</v>
      </c>
      <c r="W6" s="1">
        <v>0.00026634445950898355</v>
      </c>
      <c r="X6" s="1">
        <v>5.1161602263802835E-05</v>
      </c>
      <c r="Y6" s="1">
        <v>0.0003372919438882478</v>
      </c>
      <c r="Z6" s="1">
        <v>0.00023707689287301892</v>
      </c>
      <c r="AA6" s="1">
        <v>0.00044586543331728607</v>
      </c>
      <c r="AB6" s="1">
        <v>0.00020410996169400889</v>
      </c>
      <c r="AC6" s="1">
        <v>0.0005643809256258516</v>
      </c>
      <c r="AD6" s="1">
        <v>0.0030562510819512516</v>
      </c>
      <c r="AE6" s="1">
        <v>0.00031694985424264035</v>
      </c>
      <c r="AF6" s="1">
        <v>0.000599399269734475</v>
      </c>
      <c r="AG6" s="1">
        <v>0.002920526586275137</v>
      </c>
      <c r="AH6" s="1">
        <v>0.0005500874817704288</v>
      </c>
    </row>
    <row r="7" spans="1:34" ht="21" customHeight="1">
      <c r="A7" s="3">
        <v>5</v>
      </c>
      <c r="B7" s="1" t="s">
        <v>8</v>
      </c>
      <c r="C7" s="1">
        <v>0.006469969073345626</v>
      </c>
      <c r="D7" s="1">
        <v>0.002094843749353938</v>
      </c>
      <c r="E7" s="1">
        <v>0.009003152548524984</v>
      </c>
      <c r="F7" s="1">
        <v>0.003971156250029455</v>
      </c>
      <c r="G7" s="1">
        <v>1.0664832707392424</v>
      </c>
      <c r="H7" s="1">
        <v>0.006754913830953004</v>
      </c>
      <c r="I7" s="1">
        <v>0.0013853181492586492</v>
      </c>
      <c r="J7" s="1">
        <v>0.012827767623696255</v>
      </c>
      <c r="K7" s="1">
        <v>0.007274352446838714</v>
      </c>
      <c r="L7" s="1">
        <v>0.0022460344014170776</v>
      </c>
      <c r="M7" s="1">
        <v>0.003066664357362853</v>
      </c>
      <c r="N7" s="1">
        <v>0.0016454899728192123</v>
      </c>
      <c r="O7" s="1">
        <v>0.003438611276716732</v>
      </c>
      <c r="P7" s="1">
        <v>0.0016839697397124191</v>
      </c>
      <c r="Q7" s="1">
        <v>0.004959900495044032</v>
      </c>
      <c r="R7" s="1">
        <v>0.02844607029898821</v>
      </c>
      <c r="S7" s="1">
        <v>0.01180682011790419</v>
      </c>
      <c r="T7" s="1">
        <v>0.0021086266713738213</v>
      </c>
      <c r="U7" s="1">
        <v>0.0022223120784991167</v>
      </c>
      <c r="V7" s="1">
        <v>0.005636667727910861</v>
      </c>
      <c r="W7" s="1">
        <v>0.0032532674828327363</v>
      </c>
      <c r="X7" s="1">
        <v>0.0011895824830046435</v>
      </c>
      <c r="Y7" s="1">
        <v>0.003721397445821026</v>
      </c>
      <c r="Z7" s="1">
        <v>0.0017633238995768239</v>
      </c>
      <c r="AA7" s="1">
        <v>0.0022080032427698043</v>
      </c>
      <c r="AB7" s="1">
        <v>0.005273358596782414</v>
      </c>
      <c r="AC7" s="1">
        <v>0.002765408520869463</v>
      </c>
      <c r="AD7" s="1">
        <v>0.009685797011367382</v>
      </c>
      <c r="AE7" s="1">
        <v>0.0029478070778702807</v>
      </c>
      <c r="AF7" s="1">
        <v>0.003502427959132559</v>
      </c>
      <c r="AG7" s="1">
        <v>0.15716553963951796</v>
      </c>
      <c r="AH7" s="1">
        <v>0.0035135298672244165</v>
      </c>
    </row>
    <row r="8" spans="1:34" ht="21" customHeight="1">
      <c r="A8" s="3">
        <v>6</v>
      </c>
      <c r="B8" s="1" t="s">
        <v>9</v>
      </c>
      <c r="C8" s="1">
        <v>0.014871049379753904</v>
      </c>
      <c r="D8" s="1">
        <v>0.0017453443548514256</v>
      </c>
      <c r="E8" s="1">
        <v>0.003768073003580475</v>
      </c>
      <c r="F8" s="1">
        <v>0.03667440767493889</v>
      </c>
      <c r="G8" s="1">
        <v>0.007483882904035554</v>
      </c>
      <c r="H8" s="1">
        <v>1.0655702115999723</v>
      </c>
      <c r="I8" s="1">
        <v>0.01048261680812268</v>
      </c>
      <c r="J8" s="1">
        <v>0.004582532730406026</v>
      </c>
      <c r="K8" s="1">
        <v>0.0010962233685783162</v>
      </c>
      <c r="L8" s="1">
        <v>0.0009821928811171929</v>
      </c>
      <c r="M8" s="1">
        <v>0.0025327601219113545</v>
      </c>
      <c r="N8" s="1">
        <v>0.001701114147594671</v>
      </c>
      <c r="O8" s="1">
        <v>0.0035624752067062062</v>
      </c>
      <c r="P8" s="1">
        <v>0.005669646763032229</v>
      </c>
      <c r="Q8" s="1">
        <v>0.0027920587407599274</v>
      </c>
      <c r="R8" s="1">
        <v>0.025031281951751548</v>
      </c>
      <c r="S8" s="1">
        <v>0.0016320795818948492</v>
      </c>
      <c r="T8" s="1">
        <v>0.0005980150183906275</v>
      </c>
      <c r="U8" s="1">
        <v>0.0031111271744706523</v>
      </c>
      <c r="V8" s="1">
        <v>0.00047520810356957373</v>
      </c>
      <c r="W8" s="1">
        <v>0.0006163572367050322</v>
      </c>
      <c r="X8" s="1">
        <v>0.000247860831641788</v>
      </c>
      <c r="Y8" s="1">
        <v>0.00047144161728889964</v>
      </c>
      <c r="Z8" s="1">
        <v>0.0009192520987793167</v>
      </c>
      <c r="AA8" s="1">
        <v>0.0008576171924337117</v>
      </c>
      <c r="AB8" s="1">
        <v>0.001943087417242871</v>
      </c>
      <c r="AC8" s="1">
        <v>0.04056123702012631</v>
      </c>
      <c r="AD8" s="1">
        <v>0.00181083743685082</v>
      </c>
      <c r="AE8" s="1">
        <v>0.0016118368489137155</v>
      </c>
      <c r="AF8" s="1">
        <v>0.0021134925267819135</v>
      </c>
      <c r="AG8" s="1">
        <v>0.014294036723483342</v>
      </c>
      <c r="AH8" s="1">
        <v>0.010326599332459089</v>
      </c>
    </row>
    <row r="9" spans="1:34" ht="21" customHeight="1">
      <c r="A9" s="3">
        <v>7</v>
      </c>
      <c r="B9" s="1" t="s">
        <v>10</v>
      </c>
      <c r="C9" s="1">
        <v>0.0004971045243648543</v>
      </c>
      <c r="D9" s="1">
        <v>0.0010398370227931533</v>
      </c>
      <c r="E9" s="1">
        <v>0.0001212169133697624</v>
      </c>
      <c r="F9" s="1">
        <v>0.00014885305994081656</v>
      </c>
      <c r="G9" s="1">
        <v>0.0001525001204922357</v>
      </c>
      <c r="H9" s="1">
        <v>0.0001591585845459439</v>
      </c>
      <c r="I9" s="1">
        <v>1.0038266070242194</v>
      </c>
      <c r="J9" s="1">
        <v>0.0004167812833803534</v>
      </c>
      <c r="K9" s="1">
        <v>0.0004836069128479041</v>
      </c>
      <c r="L9" s="1">
        <v>9.705748319067705E-05</v>
      </c>
      <c r="M9" s="1">
        <v>0.00011295300826215516</v>
      </c>
      <c r="N9" s="1">
        <v>6.497952497753927E-05</v>
      </c>
      <c r="O9" s="1">
        <v>7.6574032807301E-05</v>
      </c>
      <c r="P9" s="1">
        <v>4.85162829524389E-05</v>
      </c>
      <c r="Q9" s="1">
        <v>7.61667979424174E-05</v>
      </c>
      <c r="R9" s="1">
        <v>9.117256669838634E-05</v>
      </c>
      <c r="S9" s="1">
        <v>0.00028070070639607753</v>
      </c>
      <c r="T9" s="1">
        <v>0.00010739957120680292</v>
      </c>
      <c r="U9" s="1">
        <v>0.00017888777093818538</v>
      </c>
      <c r="V9" s="1">
        <v>0.0001800058653814508</v>
      </c>
      <c r="W9" s="1">
        <v>3.75114999701387E-05</v>
      </c>
      <c r="X9" s="1">
        <v>3.1152749377698305E-05</v>
      </c>
      <c r="Y9" s="1">
        <v>0.0005357672795793059</v>
      </c>
      <c r="Z9" s="1">
        <v>5.371432040071753E-05</v>
      </c>
      <c r="AA9" s="1">
        <v>0.00014917526464039755</v>
      </c>
      <c r="AB9" s="1">
        <v>0.0001534632963469516</v>
      </c>
      <c r="AC9" s="1">
        <v>0.00011734814738331181</v>
      </c>
      <c r="AD9" s="1">
        <v>0.00011354531296745599</v>
      </c>
      <c r="AE9" s="1">
        <v>7.24731446348133E-05</v>
      </c>
      <c r="AF9" s="1">
        <v>0.0001335303648684452</v>
      </c>
      <c r="AG9" s="1">
        <v>8.049815106549017E-05</v>
      </c>
      <c r="AH9" s="1">
        <v>0.00010878226036307747</v>
      </c>
    </row>
    <row r="10" spans="1:34" ht="21" customHeight="1">
      <c r="A10" s="3">
        <v>8</v>
      </c>
      <c r="B10" s="1" t="s">
        <v>11</v>
      </c>
      <c r="C10" s="1">
        <v>0.0006178464421863365</v>
      </c>
      <c r="D10" s="1">
        <v>0.0002567009140961885</v>
      </c>
      <c r="E10" s="1">
        <v>0.0015657844345986162</v>
      </c>
      <c r="F10" s="1">
        <v>0.0003185942367506611</v>
      </c>
      <c r="G10" s="1">
        <v>0.0017698891974571797</v>
      </c>
      <c r="H10" s="1">
        <v>0.0017886029824527932</v>
      </c>
      <c r="I10" s="1">
        <v>0.004209827369483958</v>
      </c>
      <c r="J10" s="1">
        <v>1.0277152881786715</v>
      </c>
      <c r="K10" s="1">
        <v>0.0015983867508219144</v>
      </c>
      <c r="L10" s="1">
        <v>0.0006846062606710243</v>
      </c>
      <c r="M10" s="1">
        <v>0.001053286630912709</v>
      </c>
      <c r="N10" s="1">
        <v>0.0019001745714869731</v>
      </c>
      <c r="O10" s="1">
        <v>0.0020339614329185703</v>
      </c>
      <c r="P10" s="1">
        <v>0.00040921204190075175</v>
      </c>
      <c r="Q10" s="1">
        <v>0.00213940674080085</v>
      </c>
      <c r="R10" s="1">
        <v>0.0010782667656689942</v>
      </c>
      <c r="S10" s="1">
        <v>0.014835321709086144</v>
      </c>
      <c r="T10" s="1">
        <v>0.00048180873323995423</v>
      </c>
      <c r="U10" s="1">
        <v>0.0011435836807605626</v>
      </c>
      <c r="V10" s="1">
        <v>0.00031219694995538464</v>
      </c>
      <c r="W10" s="1">
        <v>0.00016553930187259363</v>
      </c>
      <c r="X10" s="1">
        <v>0.0007706476753904385</v>
      </c>
      <c r="Y10" s="1">
        <v>0.000284768206249898</v>
      </c>
      <c r="Z10" s="1">
        <v>0.00013832550025967612</v>
      </c>
      <c r="AA10" s="1">
        <v>0.0003478387555276906</v>
      </c>
      <c r="AB10" s="1">
        <v>0.0010489881227237709</v>
      </c>
      <c r="AC10" s="1">
        <v>0.0004572345800981519</v>
      </c>
      <c r="AD10" s="1">
        <v>0.0005175711254162659</v>
      </c>
      <c r="AE10" s="1">
        <v>0.0004809320226950754</v>
      </c>
      <c r="AF10" s="1">
        <v>0.0010258542063992103</v>
      </c>
      <c r="AG10" s="1">
        <v>0.00043094484160895657</v>
      </c>
      <c r="AH10" s="1">
        <v>0.0018479732200805492</v>
      </c>
    </row>
    <row r="11" spans="1:34" ht="21" customHeight="1">
      <c r="A11" s="3">
        <v>9</v>
      </c>
      <c r="B11" s="1" t="s">
        <v>12</v>
      </c>
      <c r="C11" s="1">
        <v>1.2255203398798122E-05</v>
      </c>
      <c r="D11" s="1">
        <v>3.3508338967824544E-05</v>
      </c>
      <c r="E11" s="1">
        <v>1.5434947148339876E-05</v>
      </c>
      <c r="F11" s="1">
        <v>7.058597384368849E-06</v>
      </c>
      <c r="G11" s="1">
        <v>0.0004036850081448032</v>
      </c>
      <c r="H11" s="1">
        <v>1.8351229524355662E-05</v>
      </c>
      <c r="I11" s="1">
        <v>1.3378212211609428E-05</v>
      </c>
      <c r="J11" s="1">
        <v>0.00015660478548770506</v>
      </c>
      <c r="K11" s="1">
        <v>1.0035475955876412</v>
      </c>
      <c r="L11" s="1">
        <v>1.523351917341922E-05</v>
      </c>
      <c r="M11" s="1">
        <v>0.0022799777125530004</v>
      </c>
      <c r="N11" s="1">
        <v>0.0009450265234381563</v>
      </c>
      <c r="O11" s="1">
        <v>0.00013963941614339017</v>
      </c>
      <c r="P11" s="1">
        <v>0.0011497072576583415</v>
      </c>
      <c r="Q11" s="1">
        <v>0.00021699431335330487</v>
      </c>
      <c r="R11" s="1">
        <v>5.7284956108652966E-05</v>
      </c>
      <c r="S11" s="1">
        <v>0.0003074649408143068</v>
      </c>
      <c r="T11" s="1">
        <v>1.233410352602701E-05</v>
      </c>
      <c r="U11" s="1">
        <v>1.8226027281723875E-05</v>
      </c>
      <c r="V11" s="1">
        <v>9.638624385081859E-06</v>
      </c>
      <c r="W11" s="1">
        <v>6.919414240668259E-06</v>
      </c>
      <c r="X11" s="1">
        <v>1.6566007343172203E-05</v>
      </c>
      <c r="Y11" s="1">
        <v>2.0186829876651152E-05</v>
      </c>
      <c r="Z11" s="1">
        <v>4.542219416602402E-06</v>
      </c>
      <c r="AA11" s="1">
        <v>2.18255370324712E-05</v>
      </c>
      <c r="AB11" s="1">
        <v>1.3051287597882511E-05</v>
      </c>
      <c r="AC11" s="1">
        <v>5.718603221204437E-06</v>
      </c>
      <c r="AD11" s="1">
        <v>1.1021609975992054E-05</v>
      </c>
      <c r="AE11" s="1">
        <v>2.728525631114962E-05</v>
      </c>
      <c r="AF11" s="1">
        <v>8.457426132212642E-06</v>
      </c>
      <c r="AG11" s="1">
        <v>7.012511348792796E-05</v>
      </c>
      <c r="AH11" s="1">
        <v>5.146687489306569E-05</v>
      </c>
    </row>
    <row r="12" spans="1:34" ht="21" customHeight="1">
      <c r="A12" s="3">
        <v>10</v>
      </c>
      <c r="B12" s="1" t="s">
        <v>13</v>
      </c>
      <c r="C12" s="1">
        <v>1.9581583259109956E-05</v>
      </c>
      <c r="D12" s="1">
        <v>4.124131708552742E-05</v>
      </c>
      <c r="E12" s="1">
        <v>0.00010109440967068437</v>
      </c>
      <c r="F12" s="1">
        <v>1.83143992066572E-05</v>
      </c>
      <c r="G12" s="1">
        <v>0.00023121667981306342</v>
      </c>
      <c r="H12" s="1">
        <v>0.00010124334519484915</v>
      </c>
      <c r="I12" s="1">
        <v>2.6939059112775605E-05</v>
      </c>
      <c r="J12" s="1">
        <v>0.00042006235721356804</v>
      </c>
      <c r="K12" s="1">
        <v>0.00014751601397695793</v>
      </c>
      <c r="L12" s="1">
        <v>1.0207706310031561</v>
      </c>
      <c r="M12" s="1">
        <v>0.003961397461821643</v>
      </c>
      <c r="N12" s="1">
        <v>0.0007886689802599762</v>
      </c>
      <c r="O12" s="1">
        <v>0.0015954840042382249</v>
      </c>
      <c r="P12" s="1">
        <v>0.0007445731532719548</v>
      </c>
      <c r="Q12" s="1">
        <v>0.0015114216208977607</v>
      </c>
      <c r="R12" s="1">
        <v>0.00042293127458036016</v>
      </c>
      <c r="S12" s="1">
        <v>0.0006068671861304784</v>
      </c>
      <c r="T12" s="1">
        <v>6.4858079229205E-05</v>
      </c>
      <c r="U12" s="1">
        <v>4.9155350952954265E-05</v>
      </c>
      <c r="V12" s="1">
        <v>1.979944557769348E-05</v>
      </c>
      <c r="W12" s="1">
        <v>1.658351550249267E-05</v>
      </c>
      <c r="X12" s="1">
        <v>3.32671313101293E-05</v>
      </c>
      <c r="Y12" s="1">
        <v>2.164653043350678E-05</v>
      </c>
      <c r="Z12" s="1">
        <v>1.294835087191189E-05</v>
      </c>
      <c r="AA12" s="1">
        <v>5.254899691097779E-05</v>
      </c>
      <c r="AB12" s="1">
        <v>3.4491233595607476E-05</v>
      </c>
      <c r="AC12" s="1">
        <v>7.391973462046652E-05</v>
      </c>
      <c r="AD12" s="1">
        <v>3.3571020031737914E-05</v>
      </c>
      <c r="AE12" s="1">
        <v>5.801113422051128E-05</v>
      </c>
      <c r="AF12" s="1">
        <v>3.9525704142001805E-05</v>
      </c>
      <c r="AG12" s="1">
        <v>9.975952460186815E-05</v>
      </c>
      <c r="AH12" s="1">
        <v>0.0001466819674781639</v>
      </c>
    </row>
    <row r="13" spans="1:34" ht="21" customHeight="1">
      <c r="A13" s="3">
        <v>11</v>
      </c>
      <c r="B13" s="1" t="s">
        <v>14</v>
      </c>
      <c r="C13" s="1">
        <v>0.0012587507956712035</v>
      </c>
      <c r="D13" s="1">
        <v>0.006028315996404468</v>
      </c>
      <c r="E13" s="1">
        <v>0.004052736061087407</v>
      </c>
      <c r="F13" s="1">
        <v>0.000781676362345532</v>
      </c>
      <c r="G13" s="1">
        <v>0.013281084575947719</v>
      </c>
      <c r="H13" s="1">
        <v>0.004270177235670126</v>
      </c>
      <c r="I13" s="1">
        <v>0.002437914825592006</v>
      </c>
      <c r="J13" s="1">
        <v>0.004224554177006164</v>
      </c>
      <c r="K13" s="1">
        <v>0.001974985839438631</v>
      </c>
      <c r="L13" s="1">
        <v>0.000927613288622312</v>
      </c>
      <c r="M13" s="1">
        <v>1.0199016780405143</v>
      </c>
      <c r="N13" s="1">
        <v>0.01235664941592223</v>
      </c>
      <c r="O13" s="1">
        <v>0.006568180978340814</v>
      </c>
      <c r="P13" s="1">
        <v>0.006362055007361973</v>
      </c>
      <c r="Q13" s="1">
        <v>0.006712655174325382</v>
      </c>
      <c r="R13" s="1">
        <v>0.004680809910043798</v>
      </c>
      <c r="S13" s="1">
        <v>0.026607514493903906</v>
      </c>
      <c r="T13" s="1">
        <v>0.0011088852167619315</v>
      </c>
      <c r="U13" s="1">
        <v>0.0014901512215826774</v>
      </c>
      <c r="V13" s="1">
        <v>0.0016459975690439734</v>
      </c>
      <c r="W13" s="1">
        <v>0.000386405973195693</v>
      </c>
      <c r="X13" s="1">
        <v>0.0014721462735805457</v>
      </c>
      <c r="Y13" s="1">
        <v>0.0009446856939724768</v>
      </c>
      <c r="Z13" s="1">
        <v>0.00035366584434239924</v>
      </c>
      <c r="AA13" s="1">
        <v>0.002497504414883888</v>
      </c>
      <c r="AB13" s="1">
        <v>0.0010153593236392805</v>
      </c>
      <c r="AC13" s="1">
        <v>0.000628791097322976</v>
      </c>
      <c r="AD13" s="1">
        <v>0.0012096378100638042</v>
      </c>
      <c r="AE13" s="1">
        <v>0.0009209145557546642</v>
      </c>
      <c r="AF13" s="1">
        <v>0.0011641255122352664</v>
      </c>
      <c r="AG13" s="1">
        <v>0.002705594627296007</v>
      </c>
      <c r="AH13" s="1">
        <v>0.0032017242178586074</v>
      </c>
    </row>
    <row r="14" spans="1:34" ht="21" customHeight="1">
      <c r="A14" s="3">
        <v>12</v>
      </c>
      <c r="B14" s="1" t="s">
        <v>15</v>
      </c>
      <c r="C14" s="1">
        <v>9.79796781715632E-05</v>
      </c>
      <c r="D14" s="1">
        <v>0.0008050692301578306</v>
      </c>
      <c r="E14" s="1">
        <v>0.0001046426139366158</v>
      </c>
      <c r="F14" s="1">
        <v>9.806765155896178E-05</v>
      </c>
      <c r="G14" s="1">
        <v>0.00026055099368736174</v>
      </c>
      <c r="H14" s="1">
        <v>0.00016531665496056036</v>
      </c>
      <c r="I14" s="1">
        <v>0.00015948337163821115</v>
      </c>
      <c r="J14" s="1">
        <v>0.0004325828846505599</v>
      </c>
      <c r="K14" s="1">
        <v>0.00031282318923238285</v>
      </c>
      <c r="L14" s="1">
        <v>0.00015349308284182313</v>
      </c>
      <c r="M14" s="1">
        <v>0.00034533492361765814</v>
      </c>
      <c r="N14" s="1">
        <v>1.021927769427623</v>
      </c>
      <c r="O14" s="1">
        <v>0.0008722733908434121</v>
      </c>
      <c r="P14" s="1">
        <v>0.0012857425616567796</v>
      </c>
      <c r="Q14" s="1">
        <v>0.0015268099032898907</v>
      </c>
      <c r="R14" s="1">
        <v>0.00028970357670855796</v>
      </c>
      <c r="S14" s="1">
        <v>0.0008513576545637779</v>
      </c>
      <c r="T14" s="1">
        <v>0.0003552703700581041</v>
      </c>
      <c r="U14" s="1">
        <v>0.00039823730743273835</v>
      </c>
      <c r="V14" s="1">
        <v>0.00018985812646818718</v>
      </c>
      <c r="W14" s="1">
        <v>0.0002495879787893216</v>
      </c>
      <c r="X14" s="1">
        <v>8.527135136160746E-05</v>
      </c>
      <c r="Y14" s="1">
        <v>0.00017597134755558717</v>
      </c>
      <c r="Z14" s="1">
        <v>0.00014477818130815314</v>
      </c>
      <c r="AA14" s="1">
        <v>0.0002913110107315712</v>
      </c>
      <c r="AB14" s="1">
        <v>0.00020214483435508984</v>
      </c>
      <c r="AC14" s="1">
        <v>0.0001135173264051687</v>
      </c>
      <c r="AD14" s="1">
        <v>0.00019938969730551374</v>
      </c>
      <c r="AE14" s="1">
        <v>0.0018545350930612929</v>
      </c>
      <c r="AF14" s="1">
        <v>0.00014671074329369266</v>
      </c>
      <c r="AG14" s="1">
        <v>0.00460644386299388</v>
      </c>
      <c r="AH14" s="1">
        <v>0.00023692135303844466</v>
      </c>
    </row>
    <row r="15" spans="1:34" ht="21" customHeight="1">
      <c r="A15" s="3">
        <v>13</v>
      </c>
      <c r="B15" s="1" t="s">
        <v>16</v>
      </c>
      <c r="C15" s="1">
        <v>0.0014389361654942889</v>
      </c>
      <c r="D15" s="1">
        <v>0.0026700774558085067</v>
      </c>
      <c r="E15" s="1">
        <v>0.0009798576031001902</v>
      </c>
      <c r="F15" s="1">
        <v>0.0008675706571351503</v>
      </c>
      <c r="G15" s="1">
        <v>0.0012670796505386387</v>
      </c>
      <c r="H15" s="1">
        <v>0.00169873826705394</v>
      </c>
      <c r="I15" s="1">
        <v>0.0010882873129353459</v>
      </c>
      <c r="J15" s="1">
        <v>0.001500805556552393</v>
      </c>
      <c r="K15" s="1">
        <v>0.000843331902795271</v>
      </c>
      <c r="L15" s="1">
        <v>0.0007226141144333712</v>
      </c>
      <c r="M15" s="1">
        <v>0.004830206774328844</v>
      </c>
      <c r="N15" s="1">
        <v>0.02479868513090495</v>
      </c>
      <c r="O15" s="1">
        <v>1.2553672882506723</v>
      </c>
      <c r="P15" s="1">
        <v>0.015193298007238067</v>
      </c>
      <c r="Q15" s="1">
        <v>0.05777881360382531</v>
      </c>
      <c r="R15" s="1">
        <v>0.0032223276347724556</v>
      </c>
      <c r="S15" s="1">
        <v>0.011481209958646734</v>
      </c>
      <c r="T15" s="1">
        <v>0.0032390722037904636</v>
      </c>
      <c r="U15" s="1">
        <v>0.0018172995920028622</v>
      </c>
      <c r="V15" s="1">
        <v>0.00202197287061666</v>
      </c>
      <c r="W15" s="1">
        <v>0.0022386491025127987</v>
      </c>
      <c r="X15" s="1">
        <v>0.000962184490395737</v>
      </c>
      <c r="Y15" s="1">
        <v>0.0015989962790770936</v>
      </c>
      <c r="Z15" s="1">
        <v>0.002759127159321087</v>
      </c>
      <c r="AA15" s="1">
        <v>0.0113625424257982</v>
      </c>
      <c r="AB15" s="1">
        <v>0.004571765673604213</v>
      </c>
      <c r="AC15" s="1">
        <v>0.001063391016658745</v>
      </c>
      <c r="AD15" s="1">
        <v>0.0016853099554304993</v>
      </c>
      <c r="AE15" s="1">
        <v>0.015951835704241787</v>
      </c>
      <c r="AF15" s="1">
        <v>0.0013752072591791081</v>
      </c>
      <c r="AG15" s="1">
        <v>0.01744963235334852</v>
      </c>
      <c r="AH15" s="1">
        <v>0.004285751421112389</v>
      </c>
    </row>
    <row r="16" spans="1:34" ht="21" customHeight="1">
      <c r="A16" s="3">
        <v>14</v>
      </c>
      <c r="B16" s="1" t="s">
        <v>17</v>
      </c>
      <c r="C16" s="1">
        <v>0.004506457093101192</v>
      </c>
      <c r="D16" s="1">
        <v>0.0027375708556457903</v>
      </c>
      <c r="E16" s="1">
        <v>0.0012424952432319638</v>
      </c>
      <c r="F16" s="1">
        <v>0.0008538573406045564</v>
      </c>
      <c r="G16" s="1">
        <v>0.0010709408416978942</v>
      </c>
      <c r="H16" s="1">
        <v>0.0015049219587331048</v>
      </c>
      <c r="I16" s="1">
        <v>0.001040091594842929</v>
      </c>
      <c r="J16" s="1">
        <v>0.0015450416968911527</v>
      </c>
      <c r="K16" s="1">
        <v>0.0008695703050469498</v>
      </c>
      <c r="L16" s="1">
        <v>0.0006895877626578624</v>
      </c>
      <c r="M16" s="1">
        <v>0.0011213316929535742</v>
      </c>
      <c r="N16" s="1">
        <v>0.0009880848109580596</v>
      </c>
      <c r="O16" s="1">
        <v>0.001297776402198827</v>
      </c>
      <c r="P16" s="1">
        <v>1.134488297707646</v>
      </c>
      <c r="Q16" s="1">
        <v>0.0011324560135656308</v>
      </c>
      <c r="R16" s="1">
        <v>0.0010243701203518332</v>
      </c>
      <c r="S16" s="1">
        <v>0.0016912582966210703</v>
      </c>
      <c r="T16" s="1">
        <v>0.003198400775742648</v>
      </c>
      <c r="U16" s="1">
        <v>0.001509727912451474</v>
      </c>
      <c r="V16" s="1">
        <v>0.0016940698681143927</v>
      </c>
      <c r="W16" s="1">
        <v>0.0021346569266917736</v>
      </c>
      <c r="X16" s="1">
        <v>0.00047469837469771764</v>
      </c>
      <c r="Y16" s="1">
        <v>0.006596846385183092</v>
      </c>
      <c r="Z16" s="1">
        <v>0.0012884933003293954</v>
      </c>
      <c r="AA16" s="1">
        <v>0.00978304552251618</v>
      </c>
      <c r="AB16" s="1">
        <v>0.0015854440798169565</v>
      </c>
      <c r="AC16" s="1">
        <v>0.0009632117063074283</v>
      </c>
      <c r="AD16" s="1">
        <v>0.0016266200829456543</v>
      </c>
      <c r="AE16" s="1">
        <v>0.01744153606990154</v>
      </c>
      <c r="AF16" s="1">
        <v>0.001064335537346746</v>
      </c>
      <c r="AG16" s="1">
        <v>0.0007899217966807503</v>
      </c>
      <c r="AH16" s="1">
        <v>0.0029344354007970167</v>
      </c>
    </row>
    <row r="17" spans="1:34" ht="21" customHeight="1">
      <c r="A17" s="3">
        <v>15</v>
      </c>
      <c r="B17" s="1" t="s">
        <v>18</v>
      </c>
      <c r="C17" s="1">
        <v>2.854671480633739E-05</v>
      </c>
      <c r="D17" s="1">
        <v>2.7508461184011077E-05</v>
      </c>
      <c r="E17" s="1">
        <v>2.098598982238744E-05</v>
      </c>
      <c r="F17" s="1">
        <v>2.2526220067853146E-05</v>
      </c>
      <c r="G17" s="1">
        <v>2.9076817983684558E-05</v>
      </c>
      <c r="H17" s="1">
        <v>2.110723912757481E-05</v>
      </c>
      <c r="I17" s="1">
        <v>2.913992703594861E-05</v>
      </c>
      <c r="J17" s="1">
        <v>3.868135850234001E-05</v>
      </c>
      <c r="K17" s="1">
        <v>2.0235991890661672E-05</v>
      </c>
      <c r="L17" s="1">
        <v>1.6046904816257474E-05</v>
      </c>
      <c r="M17" s="1">
        <v>2.0589401982987064E-05</v>
      </c>
      <c r="N17" s="1">
        <v>0.0004849376897933421</v>
      </c>
      <c r="O17" s="1">
        <v>7.03576158930503E-05</v>
      </c>
      <c r="P17" s="1">
        <v>6.987544235814571E-05</v>
      </c>
      <c r="Q17" s="1">
        <v>1.01187965503433</v>
      </c>
      <c r="R17" s="1">
        <v>3.878787390740126E-05</v>
      </c>
      <c r="S17" s="1">
        <v>2.5566486282951673E-05</v>
      </c>
      <c r="T17" s="1">
        <v>1.9918762927530428E-05</v>
      </c>
      <c r="U17" s="1">
        <v>2.1108751745506937E-05</v>
      </c>
      <c r="V17" s="1">
        <v>0.00024173969136827072</v>
      </c>
      <c r="W17" s="1">
        <v>1.787585060520769E-05</v>
      </c>
      <c r="X17" s="1">
        <v>5.834068750711229E-06</v>
      </c>
      <c r="Y17" s="1">
        <v>1.5079520237998111E-05</v>
      </c>
      <c r="Z17" s="1">
        <v>1.3133200560586169E-05</v>
      </c>
      <c r="AA17" s="1">
        <v>9.170198611294988E-05</v>
      </c>
      <c r="AB17" s="1">
        <v>1.8433715831661705E-05</v>
      </c>
      <c r="AC17" s="1">
        <v>0.0006114213030602672</v>
      </c>
      <c r="AD17" s="1">
        <v>2.2766801979852372E-05</v>
      </c>
      <c r="AE17" s="1">
        <v>8.981398677967237E-05</v>
      </c>
      <c r="AF17" s="1">
        <v>5.214020994631875E-05</v>
      </c>
      <c r="AG17" s="1">
        <v>5.148049654493245E-05</v>
      </c>
      <c r="AH17" s="1">
        <v>0.00015293654400719113</v>
      </c>
    </row>
    <row r="18" spans="1:34" ht="21" customHeight="1">
      <c r="A18" s="3">
        <v>16</v>
      </c>
      <c r="B18" s="1" t="s">
        <v>19</v>
      </c>
      <c r="C18" s="1">
        <v>0.006747695494580385</v>
      </c>
      <c r="D18" s="1">
        <v>0.008037765149306745</v>
      </c>
      <c r="E18" s="1">
        <v>0.007863065892958983</v>
      </c>
      <c r="F18" s="1">
        <v>0.0067886070983996195</v>
      </c>
      <c r="G18" s="1">
        <v>0.010190097476135609</v>
      </c>
      <c r="H18" s="1">
        <v>0.011571764064645473</v>
      </c>
      <c r="I18" s="1">
        <v>0.0036113543573068705</v>
      </c>
      <c r="J18" s="1">
        <v>0.006893232052136615</v>
      </c>
      <c r="K18" s="1">
        <v>0.0032893256587252003</v>
      </c>
      <c r="L18" s="1">
        <v>0.003433196711790788</v>
      </c>
      <c r="M18" s="1">
        <v>0.005700918849814911</v>
      </c>
      <c r="N18" s="1">
        <v>0.00913671243228483</v>
      </c>
      <c r="O18" s="1">
        <v>0.013331365905046392</v>
      </c>
      <c r="P18" s="1">
        <v>0.008450638405111729</v>
      </c>
      <c r="Q18" s="1">
        <v>0.015758554247321043</v>
      </c>
      <c r="R18" s="1">
        <v>1.054413162988769</v>
      </c>
      <c r="S18" s="1">
        <v>0.010657008658644919</v>
      </c>
      <c r="T18" s="1">
        <v>0.008206712477876786</v>
      </c>
      <c r="U18" s="1">
        <v>0.01360042908717688</v>
      </c>
      <c r="V18" s="1">
        <v>0.008387610684465432</v>
      </c>
      <c r="W18" s="1">
        <v>0.013477761759212488</v>
      </c>
      <c r="X18" s="1">
        <v>0.0020133387877948445</v>
      </c>
      <c r="Y18" s="1">
        <v>0.004395590672882884</v>
      </c>
      <c r="Z18" s="1">
        <v>0.007127931578463234</v>
      </c>
      <c r="AA18" s="1">
        <v>0.01516509183425464</v>
      </c>
      <c r="AB18" s="1">
        <v>0.01905492316756206</v>
      </c>
      <c r="AC18" s="1">
        <v>0.005597591706088679</v>
      </c>
      <c r="AD18" s="1">
        <v>0.027636125192148267</v>
      </c>
      <c r="AE18" s="1">
        <v>0.017911477412833894</v>
      </c>
      <c r="AF18" s="1">
        <v>0.006305523652034773</v>
      </c>
      <c r="AG18" s="1">
        <v>0.045457431983278944</v>
      </c>
      <c r="AH18" s="1">
        <v>0.007960184763852145</v>
      </c>
    </row>
    <row r="19" spans="1:34" ht="21" customHeight="1">
      <c r="A19" s="3">
        <v>17</v>
      </c>
      <c r="B19" s="1" t="s">
        <v>20</v>
      </c>
      <c r="C19" s="1">
        <v>0.005879333617677443</v>
      </c>
      <c r="D19" s="1">
        <v>0.010482978314449823</v>
      </c>
      <c r="E19" s="1">
        <v>0.004462368224544093</v>
      </c>
      <c r="F19" s="1">
        <v>0.007122244491248648</v>
      </c>
      <c r="G19" s="1">
        <v>0.007487705434638418</v>
      </c>
      <c r="H19" s="1">
        <v>0.014460096727969938</v>
      </c>
      <c r="I19" s="1">
        <v>0.018060061847701453</v>
      </c>
      <c r="J19" s="1">
        <v>0.017682112106923036</v>
      </c>
      <c r="K19" s="1">
        <v>0.008844272510061568</v>
      </c>
      <c r="L19" s="1">
        <v>0.00491194569941633</v>
      </c>
      <c r="M19" s="1">
        <v>0.012060809621907045</v>
      </c>
      <c r="N19" s="1">
        <v>0.006496072405212196</v>
      </c>
      <c r="O19" s="1">
        <v>0.009612036325915688</v>
      </c>
      <c r="P19" s="1">
        <v>0.0047028113546171675</v>
      </c>
      <c r="Q19" s="1">
        <v>0.009194550175722002</v>
      </c>
      <c r="R19" s="1">
        <v>0.005572888458633911</v>
      </c>
      <c r="S19" s="1">
        <v>1.0073822104701544</v>
      </c>
      <c r="T19" s="1">
        <v>0.018971789478565766</v>
      </c>
      <c r="U19" s="1">
        <v>0.039933681586722454</v>
      </c>
      <c r="V19" s="1">
        <v>0.005164675681097191</v>
      </c>
      <c r="W19" s="1">
        <v>0.00649267607290616</v>
      </c>
      <c r="X19" s="1">
        <v>0.05015457174192267</v>
      </c>
      <c r="Y19" s="1">
        <v>0.014678290707605067</v>
      </c>
      <c r="Z19" s="1">
        <v>0.003955274378886518</v>
      </c>
      <c r="AA19" s="1">
        <v>0.013853518395884204</v>
      </c>
      <c r="AB19" s="1">
        <v>0.02382454954884173</v>
      </c>
      <c r="AC19" s="1">
        <v>0.006348734123101067</v>
      </c>
      <c r="AD19" s="1">
        <v>0.0059511510141332085</v>
      </c>
      <c r="AE19" s="1">
        <v>0.005272454395200038</v>
      </c>
      <c r="AF19" s="1">
        <v>0.009599256107706155</v>
      </c>
      <c r="AG19" s="1">
        <v>0.0036096510311198387</v>
      </c>
      <c r="AH19" s="1">
        <v>0.08602948611395908</v>
      </c>
    </row>
    <row r="20" spans="1:34" ht="21" customHeight="1">
      <c r="A20" s="3">
        <v>18</v>
      </c>
      <c r="B20" s="1" t="s">
        <v>21</v>
      </c>
      <c r="C20" s="1">
        <v>0.007544280351440435</v>
      </c>
      <c r="D20" s="1">
        <v>0.020728979999597073</v>
      </c>
      <c r="E20" s="1">
        <v>0.014845752340075251</v>
      </c>
      <c r="F20" s="1">
        <v>0.02809412466660996</v>
      </c>
      <c r="G20" s="1">
        <v>0.020875554071739022</v>
      </c>
      <c r="H20" s="1">
        <v>0.03987198363800669</v>
      </c>
      <c r="I20" s="1">
        <v>0.02298454224942326</v>
      </c>
      <c r="J20" s="1">
        <v>0.03573145643049099</v>
      </c>
      <c r="K20" s="1">
        <v>0.03264736541508903</v>
      </c>
      <c r="L20" s="1">
        <v>0.021500109295378645</v>
      </c>
      <c r="M20" s="1">
        <v>0.018642850258043134</v>
      </c>
      <c r="N20" s="1">
        <v>0.012726470374598755</v>
      </c>
      <c r="O20" s="1">
        <v>0.01818581784673</v>
      </c>
      <c r="P20" s="1">
        <v>0.009992694920002702</v>
      </c>
      <c r="Q20" s="1">
        <v>0.014644959095487412</v>
      </c>
      <c r="R20" s="1">
        <v>0.020185580491083564</v>
      </c>
      <c r="S20" s="1">
        <v>0.011652853930384585</v>
      </c>
      <c r="T20" s="1">
        <v>1.0079896814456655</v>
      </c>
      <c r="U20" s="1">
        <v>0.06679379342775893</v>
      </c>
      <c r="V20" s="1">
        <v>0.017777340141595793</v>
      </c>
      <c r="W20" s="1">
        <v>0.007367815041361395</v>
      </c>
      <c r="X20" s="1">
        <v>0.0040259314395793</v>
      </c>
      <c r="Y20" s="1">
        <v>0.019605092348333273</v>
      </c>
      <c r="Z20" s="1">
        <v>0.01347330995112767</v>
      </c>
      <c r="AA20" s="1">
        <v>0.02062650902466489</v>
      </c>
      <c r="AB20" s="1">
        <v>0.03472163679645348</v>
      </c>
      <c r="AC20" s="1">
        <v>0.02738419411715392</v>
      </c>
      <c r="AD20" s="1">
        <v>0.009178250631855801</v>
      </c>
      <c r="AE20" s="1">
        <v>0.008499540232901432</v>
      </c>
      <c r="AF20" s="1">
        <v>0.024917775614066155</v>
      </c>
      <c r="AG20" s="1">
        <v>0.00911292674703377</v>
      </c>
      <c r="AH20" s="1">
        <v>0.11550960177733371</v>
      </c>
    </row>
    <row r="21" spans="1:34" ht="21" customHeight="1">
      <c r="A21" s="3">
        <v>19</v>
      </c>
      <c r="B21" s="1" t="s">
        <v>22</v>
      </c>
      <c r="C21" s="1">
        <v>0.001497779325952561</v>
      </c>
      <c r="D21" s="1">
        <v>0.004258310949007206</v>
      </c>
      <c r="E21" s="1">
        <v>0.004739719730655988</v>
      </c>
      <c r="F21" s="1">
        <v>0.007658204211271019</v>
      </c>
      <c r="G21" s="1">
        <v>0.003431541401862904</v>
      </c>
      <c r="H21" s="1">
        <v>0.0085586119660941</v>
      </c>
      <c r="I21" s="1">
        <v>0.0020812315139401003</v>
      </c>
      <c r="J21" s="1">
        <v>0.006799910748294708</v>
      </c>
      <c r="K21" s="1">
        <v>0.00467330714855412</v>
      </c>
      <c r="L21" s="1">
        <v>0.0018984647525386593</v>
      </c>
      <c r="M21" s="1">
        <v>0.002985499396424386</v>
      </c>
      <c r="N21" s="1">
        <v>0.004371943462076947</v>
      </c>
      <c r="O21" s="1">
        <v>0.004231046009978938</v>
      </c>
      <c r="P21" s="1">
        <v>0.0020448999348428765</v>
      </c>
      <c r="Q21" s="1">
        <v>0.005510000971510826</v>
      </c>
      <c r="R21" s="1">
        <v>0.0030569925101296006</v>
      </c>
      <c r="S21" s="1">
        <v>0.003067629346548692</v>
      </c>
      <c r="T21" s="1">
        <v>0.0032523323619540394</v>
      </c>
      <c r="U21" s="1">
        <v>1.0056622077215898</v>
      </c>
      <c r="V21" s="1">
        <v>0.002115921275637755</v>
      </c>
      <c r="W21" s="1">
        <v>0.0027052020165405934</v>
      </c>
      <c r="X21" s="1">
        <v>0.001054897386424268</v>
      </c>
      <c r="Y21" s="1">
        <v>0.006967632895051556</v>
      </c>
      <c r="Z21" s="1">
        <v>0.003676403074652872</v>
      </c>
      <c r="AA21" s="1">
        <v>0.0114542549544137</v>
      </c>
      <c r="AB21" s="1">
        <v>0.01654384929870949</v>
      </c>
      <c r="AC21" s="1">
        <v>0.007222449094871594</v>
      </c>
      <c r="AD21" s="1">
        <v>0.004292721389378044</v>
      </c>
      <c r="AE21" s="1">
        <v>0.0026938028789683637</v>
      </c>
      <c r="AF21" s="1">
        <v>0.015991885958722002</v>
      </c>
      <c r="AG21" s="1">
        <v>0.0015734161181486669</v>
      </c>
      <c r="AH21" s="1">
        <v>0.02288729303791238</v>
      </c>
    </row>
    <row r="22" spans="1:34" ht="21" customHeight="1">
      <c r="A22" s="3">
        <v>20</v>
      </c>
      <c r="B22" s="1" t="s">
        <v>23</v>
      </c>
      <c r="C22" s="1">
        <v>0.05457243506203326</v>
      </c>
      <c r="D22" s="1">
        <v>0.04841157547708313</v>
      </c>
      <c r="E22" s="1">
        <v>0.06308112875550627</v>
      </c>
      <c r="F22" s="1">
        <v>0.061554046069946404</v>
      </c>
      <c r="G22" s="1">
        <v>0.08790899292042911</v>
      </c>
      <c r="H22" s="1">
        <v>0.042801583774868895</v>
      </c>
      <c r="I22" s="1">
        <v>0.09295711846310382</v>
      </c>
      <c r="J22" s="1">
        <v>0.06453508281047522</v>
      </c>
      <c r="K22" s="1">
        <v>0.0651731164381587</v>
      </c>
      <c r="L22" s="1">
        <v>0.05014548327017356</v>
      </c>
      <c r="M22" s="1">
        <v>0.04585570858214181</v>
      </c>
      <c r="N22" s="1">
        <v>0.047390484642890834</v>
      </c>
      <c r="O22" s="1">
        <v>0.05519818358701751</v>
      </c>
      <c r="P22" s="1">
        <v>0.049697906857717064</v>
      </c>
      <c r="Q22" s="1">
        <v>0.059704854571979174</v>
      </c>
      <c r="R22" s="1">
        <v>0.05524752141844145</v>
      </c>
      <c r="S22" s="1">
        <v>0.06305878618904236</v>
      </c>
      <c r="T22" s="1">
        <v>0.015468618604306</v>
      </c>
      <c r="U22" s="1">
        <v>0.019244499885498593</v>
      </c>
      <c r="V22" s="1">
        <v>1.0277169402309523</v>
      </c>
      <c r="W22" s="1">
        <v>0.011587892119769934</v>
      </c>
      <c r="X22" s="1">
        <v>0.005819096993443502</v>
      </c>
      <c r="Y22" s="1">
        <v>0.021028983668405294</v>
      </c>
      <c r="Z22" s="1">
        <v>0.010202725525451053</v>
      </c>
      <c r="AA22" s="1">
        <v>0.024917887391680923</v>
      </c>
      <c r="AB22" s="1">
        <v>0.03196080319476506</v>
      </c>
      <c r="AC22" s="1">
        <v>0.06278952066431615</v>
      </c>
      <c r="AD22" s="1">
        <v>0.03957290665876804</v>
      </c>
      <c r="AE22" s="1">
        <v>0.02772357029207735</v>
      </c>
      <c r="AF22" s="1">
        <v>0.05983497349400963</v>
      </c>
      <c r="AG22" s="1">
        <v>0.19107317422793904</v>
      </c>
      <c r="AH22" s="1">
        <v>0.02762744005079587</v>
      </c>
    </row>
    <row r="23" spans="1:34" ht="21" customHeight="1">
      <c r="A23" s="3">
        <v>21</v>
      </c>
      <c r="B23" s="1" t="s">
        <v>24</v>
      </c>
      <c r="C23" s="1">
        <v>0.06762164051188874</v>
      </c>
      <c r="D23" s="1">
        <v>0.09165825817205547</v>
      </c>
      <c r="E23" s="1">
        <v>0.023772636869918245</v>
      </c>
      <c r="F23" s="1">
        <v>0.047301729611071895</v>
      </c>
      <c r="G23" s="1">
        <v>0.036560913739696284</v>
      </c>
      <c r="H23" s="1">
        <v>0.030213326039987866</v>
      </c>
      <c r="I23" s="1">
        <v>0.02256182910066895</v>
      </c>
      <c r="J23" s="1">
        <v>0.053296048688063015</v>
      </c>
      <c r="K23" s="1">
        <v>0.02267037248011808</v>
      </c>
      <c r="L23" s="1">
        <v>0.017143420297515328</v>
      </c>
      <c r="M23" s="1">
        <v>0.03230594022065726</v>
      </c>
      <c r="N23" s="1">
        <v>0.0243149476358999</v>
      </c>
      <c r="O23" s="1">
        <v>0.022010246180013307</v>
      </c>
      <c r="P23" s="1">
        <v>0.016464906628065074</v>
      </c>
      <c r="Q23" s="1">
        <v>0.03789221826619088</v>
      </c>
      <c r="R23" s="1">
        <v>0.028942619126020586</v>
      </c>
      <c r="S23" s="1">
        <v>0.029662813018316803</v>
      </c>
      <c r="T23" s="1">
        <v>0.06176635672745212</v>
      </c>
      <c r="U23" s="1">
        <v>0.0272990210109905</v>
      </c>
      <c r="V23" s="1">
        <v>0.06833751764075122</v>
      </c>
      <c r="W23" s="1">
        <v>1.101790041060217</v>
      </c>
      <c r="X23" s="1">
        <v>0.08106821077339099</v>
      </c>
      <c r="Y23" s="1">
        <v>0.08070703152565657</v>
      </c>
      <c r="Z23" s="1">
        <v>0.019703838375601496</v>
      </c>
      <c r="AA23" s="1">
        <v>0.01364890686067972</v>
      </c>
      <c r="AB23" s="1">
        <v>0.017013223307000534</v>
      </c>
      <c r="AC23" s="1">
        <v>0.02247809462494823</v>
      </c>
      <c r="AD23" s="1">
        <v>0.0377063459178838</v>
      </c>
      <c r="AE23" s="1">
        <v>0.051298017145606646</v>
      </c>
      <c r="AF23" s="1">
        <v>0.03902047763087497</v>
      </c>
      <c r="AG23" s="1">
        <v>0.022010820488190124</v>
      </c>
      <c r="AH23" s="1">
        <v>0.017947762679562898</v>
      </c>
    </row>
    <row r="24" spans="1:34" ht="21" customHeight="1">
      <c r="A24" s="3">
        <v>22</v>
      </c>
      <c r="B24" s="1" t="s">
        <v>25</v>
      </c>
      <c r="C24" s="1">
        <v>0.003196088410374636</v>
      </c>
      <c r="D24" s="1">
        <v>0.010694748086680602</v>
      </c>
      <c r="E24" s="1">
        <v>0.004157203976159917</v>
      </c>
      <c r="F24" s="1">
        <v>0.005378989662283717</v>
      </c>
      <c r="G24" s="1">
        <v>0.006086911324300094</v>
      </c>
      <c r="H24" s="1">
        <v>0.008217924007225307</v>
      </c>
      <c r="I24" s="1">
        <v>0.006932792969632984</v>
      </c>
      <c r="J24" s="1">
        <v>0.010439216004026123</v>
      </c>
      <c r="K24" s="1">
        <v>0.005288806299193799</v>
      </c>
      <c r="L24" s="1">
        <v>0.003679425297325633</v>
      </c>
      <c r="M24" s="1">
        <v>0.006136870152433176</v>
      </c>
      <c r="N24" s="1">
        <v>0.005417697025475734</v>
      </c>
      <c r="O24" s="1">
        <v>0.005772980985123531</v>
      </c>
      <c r="P24" s="1">
        <v>0.003876329798303346</v>
      </c>
      <c r="Q24" s="1">
        <v>0.006688523243935268</v>
      </c>
      <c r="R24" s="1">
        <v>0.006383903896518031</v>
      </c>
      <c r="S24" s="1">
        <v>0.005362726588171289</v>
      </c>
      <c r="T24" s="1">
        <v>0.018297624759582222</v>
      </c>
      <c r="U24" s="1">
        <v>0.006334972463852065</v>
      </c>
      <c r="V24" s="1">
        <v>0.018462973456488292</v>
      </c>
      <c r="W24" s="1">
        <v>0.018013114527589958</v>
      </c>
      <c r="X24" s="1">
        <v>1.0068741197472113</v>
      </c>
      <c r="Y24" s="1">
        <v>0.011950255431181361</v>
      </c>
      <c r="Z24" s="1">
        <v>0.007110185315182477</v>
      </c>
      <c r="AA24" s="1">
        <v>0.0035175312510255493</v>
      </c>
      <c r="AB24" s="1">
        <v>0.0048967912253455054</v>
      </c>
      <c r="AC24" s="1">
        <v>0.005316878118959035</v>
      </c>
      <c r="AD24" s="1">
        <v>0.020440808611569945</v>
      </c>
      <c r="AE24" s="1">
        <v>0.010807502145919242</v>
      </c>
      <c r="AF24" s="1">
        <v>0.016595914565920713</v>
      </c>
      <c r="AG24" s="1">
        <v>0.0049406605726585225</v>
      </c>
      <c r="AH24" s="1">
        <v>0.004548589179042955</v>
      </c>
    </row>
    <row r="25" spans="1:34" ht="21" customHeight="1">
      <c r="A25" s="3">
        <v>23</v>
      </c>
      <c r="B25" s="1" t="s">
        <v>26</v>
      </c>
      <c r="C25" s="1">
        <v>0.031811646493592666</v>
      </c>
      <c r="D25" s="1">
        <v>0.037925547535690766</v>
      </c>
      <c r="E25" s="1">
        <v>0.027490010626595316</v>
      </c>
      <c r="F25" s="1">
        <v>0.024030149482126954</v>
      </c>
      <c r="G25" s="1">
        <v>0.03385387390809747</v>
      </c>
      <c r="H25" s="1">
        <v>0.034311105359388666</v>
      </c>
      <c r="I25" s="1">
        <v>0.03624611030858184</v>
      </c>
      <c r="J25" s="1">
        <v>0.06332691378803755</v>
      </c>
      <c r="K25" s="1">
        <v>0.03186220807249477</v>
      </c>
      <c r="L25" s="1">
        <v>0.01786460601611388</v>
      </c>
      <c r="M25" s="1">
        <v>0.029618294278859824</v>
      </c>
      <c r="N25" s="1">
        <v>0.018444234071139536</v>
      </c>
      <c r="O25" s="1">
        <v>0.022197262075480114</v>
      </c>
      <c r="P25" s="1">
        <v>0.018666857171981844</v>
      </c>
      <c r="Q25" s="1">
        <v>0.02005145910417556</v>
      </c>
      <c r="R25" s="1">
        <v>0.02731733448615252</v>
      </c>
      <c r="S25" s="1">
        <v>0.026718489377908983</v>
      </c>
      <c r="T25" s="1">
        <v>0.013438116848864217</v>
      </c>
      <c r="U25" s="1">
        <v>0.019306001896227356</v>
      </c>
      <c r="V25" s="1">
        <v>0.035903501265482064</v>
      </c>
      <c r="W25" s="1">
        <v>0.021243166813437582</v>
      </c>
      <c r="X25" s="1">
        <v>0.003940218626979313</v>
      </c>
      <c r="Y25" s="1">
        <v>1.0530060712079765</v>
      </c>
      <c r="Z25" s="1">
        <v>0.016111524735590216</v>
      </c>
      <c r="AA25" s="1">
        <v>0.023193794629006472</v>
      </c>
      <c r="AB25" s="1">
        <v>0.02161996811642333</v>
      </c>
      <c r="AC25" s="1">
        <v>0.015285257358911177</v>
      </c>
      <c r="AD25" s="1">
        <v>0.023747567037993352</v>
      </c>
      <c r="AE25" s="1">
        <v>0.014206285095263756</v>
      </c>
      <c r="AF25" s="1">
        <v>0.022525231440923357</v>
      </c>
      <c r="AG25" s="1">
        <v>0.05266694844108298</v>
      </c>
      <c r="AH25" s="1">
        <v>0.014436802834646729</v>
      </c>
    </row>
    <row r="26" spans="1:34" ht="21" customHeight="1">
      <c r="A26" s="3">
        <v>24</v>
      </c>
      <c r="B26" s="1" t="s">
        <v>27</v>
      </c>
      <c r="C26" s="1">
        <v>0.006659011217295261</v>
      </c>
      <c r="D26" s="1">
        <v>0.012679102673971713</v>
      </c>
      <c r="E26" s="1">
        <v>0.007310122361895998</v>
      </c>
      <c r="F26" s="1">
        <v>0.007913184471388902</v>
      </c>
      <c r="G26" s="1">
        <v>0.008047133119754508</v>
      </c>
      <c r="H26" s="1">
        <v>0.016100099449960357</v>
      </c>
      <c r="I26" s="1">
        <v>0.008429026547247361</v>
      </c>
      <c r="J26" s="1">
        <v>0.009468405415997878</v>
      </c>
      <c r="K26" s="1">
        <v>0.006079354899210904</v>
      </c>
      <c r="L26" s="1">
        <v>0.006040011777389732</v>
      </c>
      <c r="M26" s="1">
        <v>0.00917423397899904</v>
      </c>
      <c r="N26" s="1">
        <v>0.0073006332393059994</v>
      </c>
      <c r="O26" s="1">
        <v>0.00985755754973407</v>
      </c>
      <c r="P26" s="1">
        <v>0.005420796290646958</v>
      </c>
      <c r="Q26" s="1">
        <v>0.010357397600445087</v>
      </c>
      <c r="R26" s="1">
        <v>0.009780198451436054</v>
      </c>
      <c r="S26" s="1">
        <v>0.012338436512604883</v>
      </c>
      <c r="T26" s="1">
        <v>0.017033300924842187</v>
      </c>
      <c r="U26" s="1">
        <v>0.013118353556208232</v>
      </c>
      <c r="V26" s="1">
        <v>0.03655167643158241</v>
      </c>
      <c r="W26" s="1">
        <v>0.032605653260108725</v>
      </c>
      <c r="X26" s="1">
        <v>0.003979311649528449</v>
      </c>
      <c r="Y26" s="1">
        <v>0.012623655439181022</v>
      </c>
      <c r="Z26" s="1">
        <v>1.0440811198248938</v>
      </c>
      <c r="AA26" s="1">
        <v>0.01756277599482304</v>
      </c>
      <c r="AB26" s="1">
        <v>0.024578824586845426</v>
      </c>
      <c r="AC26" s="1">
        <v>0.010911348582651324</v>
      </c>
      <c r="AD26" s="1">
        <v>0.026409373763741435</v>
      </c>
      <c r="AE26" s="1">
        <v>0.04262403058737804</v>
      </c>
      <c r="AF26" s="1">
        <v>0.01379382676612665</v>
      </c>
      <c r="AG26" s="1">
        <v>0.008638250518648008</v>
      </c>
      <c r="AH26" s="1">
        <v>0.011013589073243273</v>
      </c>
    </row>
    <row r="27" spans="1:34" ht="21" customHeight="1">
      <c r="A27" s="3">
        <v>25</v>
      </c>
      <c r="B27" s="1" t="s">
        <v>28</v>
      </c>
      <c r="C27" s="1">
        <v>0.0013660623575319538</v>
      </c>
      <c r="D27" s="1">
        <v>0.0031390398243830863</v>
      </c>
      <c r="E27" s="1">
        <v>0.0007869548349784586</v>
      </c>
      <c r="F27" s="1">
        <v>0.0016011441202317786</v>
      </c>
      <c r="G27" s="1">
        <v>0.0020128007301314795</v>
      </c>
      <c r="H27" s="1">
        <v>0.0018904040582866499</v>
      </c>
      <c r="I27" s="1">
        <v>0.004372074154030801</v>
      </c>
      <c r="J27" s="1">
        <v>0.005578974700200125</v>
      </c>
      <c r="K27" s="1">
        <v>0.0016537906081164587</v>
      </c>
      <c r="L27" s="1">
        <v>0.000994809229487066</v>
      </c>
      <c r="M27" s="1">
        <v>0.0026364807422937725</v>
      </c>
      <c r="N27" s="1">
        <v>0.0014959094933045495</v>
      </c>
      <c r="O27" s="1">
        <v>0.0018988116368806917</v>
      </c>
      <c r="P27" s="1">
        <v>0.0008328589498765687</v>
      </c>
      <c r="Q27" s="1">
        <v>0.0018056520046260472</v>
      </c>
      <c r="R27" s="1">
        <v>0.001581813205605046</v>
      </c>
      <c r="S27" s="1">
        <v>0.003388629646484911</v>
      </c>
      <c r="T27" s="1">
        <v>0.0014677909657021412</v>
      </c>
      <c r="U27" s="1">
        <v>0.002511747292865531</v>
      </c>
      <c r="V27" s="1">
        <v>0.0005348854179229847</v>
      </c>
      <c r="W27" s="1">
        <v>0.0008286487790757543</v>
      </c>
      <c r="X27" s="1">
        <v>0.002012361371008643</v>
      </c>
      <c r="Y27" s="1">
        <v>0.0013576612685053614</v>
      </c>
      <c r="Z27" s="1">
        <v>0.0008509824539774209</v>
      </c>
      <c r="AA27" s="1">
        <v>1.0005485947308632</v>
      </c>
      <c r="AB27" s="1">
        <v>0.0013321871427100808</v>
      </c>
      <c r="AC27" s="1">
        <v>0.0008953102143174484</v>
      </c>
      <c r="AD27" s="1">
        <v>0.004416379573802911</v>
      </c>
      <c r="AE27" s="1">
        <v>0.0011024107183201825</v>
      </c>
      <c r="AF27" s="1">
        <v>0.0024564634447160794</v>
      </c>
      <c r="AG27" s="1">
        <v>0.0019433229044041162</v>
      </c>
      <c r="AH27" s="1">
        <v>0.221499697593175</v>
      </c>
    </row>
    <row r="28" spans="1:34" ht="21" customHeight="1">
      <c r="A28" s="3">
        <v>26</v>
      </c>
      <c r="B28" s="1" t="s">
        <v>29</v>
      </c>
      <c r="C28" s="1">
        <v>0.0028609998195333847</v>
      </c>
      <c r="D28" s="1">
        <v>0.0021589479015593567</v>
      </c>
      <c r="E28" s="1">
        <v>0.00430021090843114</v>
      </c>
      <c r="F28" s="1">
        <v>0.007246695723727568</v>
      </c>
      <c r="G28" s="1">
        <v>0.00649362486327196</v>
      </c>
      <c r="H28" s="1">
        <v>0.07721006735421994</v>
      </c>
      <c r="I28" s="1">
        <v>0.0066224119225753485</v>
      </c>
      <c r="J28" s="1">
        <v>0.01603111729409125</v>
      </c>
      <c r="K28" s="1">
        <v>0.006003540828817663</v>
      </c>
      <c r="L28" s="1">
        <v>0.00891455161631651</v>
      </c>
      <c r="M28" s="1">
        <v>0.008560253050595362</v>
      </c>
      <c r="N28" s="1">
        <v>0.024740058236538742</v>
      </c>
      <c r="O28" s="1">
        <v>0.08943089083353202</v>
      </c>
      <c r="P28" s="1">
        <v>0.02168738765754753</v>
      </c>
      <c r="Q28" s="1">
        <v>0.06610198317173031</v>
      </c>
      <c r="R28" s="1">
        <v>0.008765871716514577</v>
      </c>
      <c r="S28" s="1">
        <v>0.004529706964982056</v>
      </c>
      <c r="T28" s="1">
        <v>0.022886132038345948</v>
      </c>
      <c r="U28" s="1">
        <v>0.0030723972778172472</v>
      </c>
      <c r="V28" s="1">
        <v>0.002186108607479132</v>
      </c>
      <c r="W28" s="1">
        <v>0.0017749036829469253</v>
      </c>
      <c r="X28" s="1">
        <v>0.0008781641245285159</v>
      </c>
      <c r="Y28" s="1">
        <v>0.0035543922357677694</v>
      </c>
      <c r="Z28" s="1">
        <v>0.01885954212436357</v>
      </c>
      <c r="AA28" s="1">
        <v>0.002369444624164305</v>
      </c>
      <c r="AB28" s="1">
        <v>1.0023178599311204</v>
      </c>
      <c r="AC28" s="1">
        <v>0.00431739643845632</v>
      </c>
      <c r="AD28" s="1">
        <v>0.002282965928725017</v>
      </c>
      <c r="AE28" s="1">
        <v>0.0037437732073078863</v>
      </c>
      <c r="AF28" s="1">
        <v>0.0020871699910449374</v>
      </c>
      <c r="AG28" s="1">
        <v>0.004299431230558621</v>
      </c>
      <c r="AH28" s="1">
        <v>0.05315945412172192</v>
      </c>
    </row>
    <row r="29" spans="1:34" ht="21" customHeight="1">
      <c r="A29" s="3">
        <v>27</v>
      </c>
      <c r="B29" s="1" t="s">
        <v>30</v>
      </c>
      <c r="C29" s="1">
        <v>0.0012926606586296404</v>
      </c>
      <c r="D29" s="1">
        <v>0.0029680533094911333</v>
      </c>
      <c r="E29" s="1">
        <v>0.0007452056608723815</v>
      </c>
      <c r="F29" s="1">
        <v>0.0015149467827526074</v>
      </c>
      <c r="G29" s="1">
        <v>0.0019040413515727292</v>
      </c>
      <c r="H29" s="1">
        <v>0.001802765074551881</v>
      </c>
      <c r="I29" s="1">
        <v>0.004131541453616045</v>
      </c>
      <c r="J29" s="1">
        <v>0.0052723314757829685</v>
      </c>
      <c r="K29" s="1">
        <v>0.0015644016369876705</v>
      </c>
      <c r="L29" s="1">
        <v>0.0009410004672361909</v>
      </c>
      <c r="M29" s="1">
        <v>0.0024920191947979055</v>
      </c>
      <c r="N29" s="1">
        <v>0.0014145242201151246</v>
      </c>
      <c r="O29" s="1">
        <v>0.0017956145956176987</v>
      </c>
      <c r="P29" s="1">
        <v>0.000788114863611539</v>
      </c>
      <c r="Q29" s="1">
        <v>0.0017076913954691215</v>
      </c>
      <c r="R29" s="1">
        <v>0.0014977261081599183</v>
      </c>
      <c r="S29" s="1">
        <v>0.0032027823669501868</v>
      </c>
      <c r="T29" s="1">
        <v>0.00139540277664663</v>
      </c>
      <c r="U29" s="1">
        <v>0.0023962928258460035</v>
      </c>
      <c r="V29" s="1">
        <v>0.0005158489986619595</v>
      </c>
      <c r="W29" s="1">
        <v>0.0007982948278767234</v>
      </c>
      <c r="X29" s="1">
        <v>0.001903131458167649</v>
      </c>
      <c r="Y29" s="1">
        <v>0.0013045667217463058</v>
      </c>
      <c r="Z29" s="1">
        <v>0.0008330169076719003</v>
      </c>
      <c r="AA29" s="1">
        <v>0.0005237805708149325</v>
      </c>
      <c r="AB29" s="1">
        <v>0.0012649414051390541</v>
      </c>
      <c r="AC29" s="1">
        <v>1.0028206624320328</v>
      </c>
      <c r="AD29" s="1">
        <v>0.004178778498336901</v>
      </c>
      <c r="AE29" s="1">
        <v>0.0010479921177799388</v>
      </c>
      <c r="AF29" s="1">
        <v>0.002336367660945675</v>
      </c>
      <c r="AG29" s="1">
        <v>0.0018388182766843448</v>
      </c>
      <c r="AH29" s="1">
        <v>0.2091906169786499</v>
      </c>
    </row>
    <row r="30" spans="1:34" ht="21" customHeight="1">
      <c r="A30" s="3">
        <v>28</v>
      </c>
      <c r="B30" s="1" t="s">
        <v>31</v>
      </c>
      <c r="C30" s="1">
        <v>0.0008025068184214783</v>
      </c>
      <c r="D30" s="1">
        <v>0.0018549283630884138</v>
      </c>
      <c r="E30" s="1">
        <v>0.0012341682489043554</v>
      </c>
      <c r="F30" s="1">
        <v>0.0014623279968733968</v>
      </c>
      <c r="G30" s="1">
        <v>0.0013914163232426418</v>
      </c>
      <c r="H30" s="1">
        <v>0.0031165217989885504</v>
      </c>
      <c r="I30" s="1">
        <v>0.001266017391796056</v>
      </c>
      <c r="J30" s="1">
        <v>0.0020444885170414614</v>
      </c>
      <c r="K30" s="1">
        <v>0.0011505357326932158</v>
      </c>
      <c r="L30" s="1">
        <v>0.000724961312068339</v>
      </c>
      <c r="M30" s="1">
        <v>0.0021409413444944954</v>
      </c>
      <c r="N30" s="1">
        <v>0.0016635310805140928</v>
      </c>
      <c r="O30" s="1">
        <v>0.0013060476525088977</v>
      </c>
      <c r="P30" s="1">
        <v>0.0005847374520433628</v>
      </c>
      <c r="Q30" s="1">
        <v>0.0008378512393403148</v>
      </c>
      <c r="R30" s="1">
        <v>0.0015744886078943234</v>
      </c>
      <c r="S30" s="1">
        <v>0.001776461329910081</v>
      </c>
      <c r="T30" s="1">
        <v>0.004301640414744019</v>
      </c>
      <c r="U30" s="1">
        <v>0.011435282284997971</v>
      </c>
      <c r="V30" s="1">
        <v>0.0014131578456569444</v>
      </c>
      <c r="W30" s="1">
        <v>0.0037395568746341084</v>
      </c>
      <c r="X30" s="1">
        <v>0.0006202245194828573</v>
      </c>
      <c r="Y30" s="1">
        <v>0.002081758313626279</v>
      </c>
      <c r="Z30" s="1">
        <v>0.0016731753210580658</v>
      </c>
      <c r="AA30" s="1">
        <v>0.0005534345301183756</v>
      </c>
      <c r="AB30" s="1">
        <v>0.002145378730906151</v>
      </c>
      <c r="AC30" s="1">
        <v>0.0016043101548071457</v>
      </c>
      <c r="AD30" s="1">
        <v>1.000554766894716</v>
      </c>
      <c r="AE30" s="1">
        <v>0.002566470679963634</v>
      </c>
      <c r="AF30" s="1">
        <v>0.0038496986040783957</v>
      </c>
      <c r="AG30" s="1">
        <v>0.0006542901575214685</v>
      </c>
      <c r="AH30" s="1">
        <v>0.0014865552301266435</v>
      </c>
    </row>
    <row r="31" spans="1:34" ht="21" customHeight="1">
      <c r="A31" s="3">
        <v>29</v>
      </c>
      <c r="B31" s="1" t="s">
        <v>32</v>
      </c>
      <c r="C31" s="1">
        <v>0.04457231342726952</v>
      </c>
      <c r="D31" s="1">
        <v>0.16089905716548533</v>
      </c>
      <c r="E31" s="1">
        <v>0.052758471569732165</v>
      </c>
      <c r="F31" s="1">
        <v>0.04517835771327326</v>
      </c>
      <c r="G31" s="1">
        <v>0.04816763480840295</v>
      </c>
      <c r="H31" s="1">
        <v>0.08398980008887831</v>
      </c>
      <c r="I31" s="1">
        <v>0.05258223747876088</v>
      </c>
      <c r="J31" s="1">
        <v>0.07553897821911852</v>
      </c>
      <c r="K31" s="1">
        <v>0.04456419556393997</v>
      </c>
      <c r="L31" s="1">
        <v>0.03791722453446222</v>
      </c>
      <c r="M31" s="1">
        <v>0.0609532892486838</v>
      </c>
      <c r="N31" s="1">
        <v>0.056593327544020154</v>
      </c>
      <c r="O31" s="1">
        <v>0.0748910155357939</v>
      </c>
      <c r="P31" s="1">
        <v>0.043675809297280585</v>
      </c>
      <c r="Q31" s="1">
        <v>0.0650582894550206</v>
      </c>
      <c r="R31" s="1">
        <v>0.05522035578203146</v>
      </c>
      <c r="S31" s="1">
        <v>0.09779481087506048</v>
      </c>
      <c r="T31" s="1">
        <v>0.20008426265084936</v>
      </c>
      <c r="U31" s="1">
        <v>0.08928607073799626</v>
      </c>
      <c r="V31" s="1">
        <v>0.09677529284333156</v>
      </c>
      <c r="W31" s="1">
        <v>0.12966499695844286</v>
      </c>
      <c r="X31" s="1">
        <v>0.028101988053388226</v>
      </c>
      <c r="Y31" s="1">
        <v>0.0824848443076613</v>
      </c>
      <c r="Z31" s="1">
        <v>0.07690868031573636</v>
      </c>
      <c r="AA31" s="1">
        <v>0.090240764594436</v>
      </c>
      <c r="AB31" s="1">
        <v>0.09192683827356353</v>
      </c>
      <c r="AC31" s="1">
        <v>0.0557540043213621</v>
      </c>
      <c r="AD31" s="1">
        <v>0.09427310833990925</v>
      </c>
      <c r="AE31" s="1">
        <v>1.1142462921594767</v>
      </c>
      <c r="AF31" s="1">
        <v>0.05697807120268396</v>
      </c>
      <c r="AG31" s="1">
        <v>0.03135119995065149</v>
      </c>
      <c r="AH31" s="1">
        <v>0.0659824685676751</v>
      </c>
    </row>
    <row r="32" spans="1:34" ht="21" customHeight="1">
      <c r="A32" s="3">
        <v>30</v>
      </c>
      <c r="B32" s="1" t="s">
        <v>33</v>
      </c>
      <c r="C32" s="1">
        <v>0.0010911896975358813</v>
      </c>
      <c r="D32" s="1">
        <v>0.0014695106851182085</v>
      </c>
      <c r="E32" s="1">
        <v>0.0008853006724749092</v>
      </c>
      <c r="F32" s="1">
        <v>0.0008387942610607487</v>
      </c>
      <c r="G32" s="1">
        <v>0.0009460042954026419</v>
      </c>
      <c r="H32" s="1">
        <v>0.0014063753730746435</v>
      </c>
      <c r="I32" s="1">
        <v>0.0009867721089239143</v>
      </c>
      <c r="J32" s="1">
        <v>0.0011578882166606529</v>
      </c>
      <c r="K32" s="1">
        <v>0.0008084980651378984</v>
      </c>
      <c r="L32" s="1">
        <v>0.0006943370721025821</v>
      </c>
      <c r="M32" s="1">
        <v>0.0009617860146001323</v>
      </c>
      <c r="N32" s="1">
        <v>0.0008773091866177945</v>
      </c>
      <c r="O32" s="1">
        <v>0.0014311434551752009</v>
      </c>
      <c r="P32" s="1">
        <v>0.0007261102137388538</v>
      </c>
      <c r="Q32" s="1">
        <v>0.0011298579381520083</v>
      </c>
      <c r="R32" s="1">
        <v>0.0012196060425246535</v>
      </c>
      <c r="S32" s="1">
        <v>0.001321601187043409</v>
      </c>
      <c r="T32" s="1">
        <v>0.0033536252153216705</v>
      </c>
      <c r="U32" s="1">
        <v>0.0015019839417929849</v>
      </c>
      <c r="V32" s="1">
        <v>0.0035309550593121534</v>
      </c>
      <c r="W32" s="1">
        <v>0.0021828000948537507</v>
      </c>
      <c r="X32" s="1">
        <v>0.000883173523214268</v>
      </c>
      <c r="Y32" s="1">
        <v>0.001584261040344034</v>
      </c>
      <c r="Z32" s="1">
        <v>0.02905279234061941</v>
      </c>
      <c r="AA32" s="1">
        <v>0.0023146120719674157</v>
      </c>
      <c r="AB32" s="1">
        <v>0.003092182079432652</v>
      </c>
      <c r="AC32" s="1">
        <v>0.010219992112488618</v>
      </c>
      <c r="AD32" s="1">
        <v>0.0048939760593972575</v>
      </c>
      <c r="AE32" s="1">
        <v>0.005850825267185484</v>
      </c>
      <c r="AF32" s="1">
        <v>1.0122378475438427</v>
      </c>
      <c r="AG32" s="1">
        <v>0.0009033131425987726</v>
      </c>
      <c r="AH32" s="1">
        <v>0.0033055520799371158</v>
      </c>
    </row>
    <row r="33" spans="1:34" ht="21" customHeight="1">
      <c r="A33" s="3">
        <v>31</v>
      </c>
      <c r="B33" s="1" t="s">
        <v>34</v>
      </c>
      <c r="C33" s="1">
        <v>0.0017358212991553214</v>
      </c>
      <c r="D33" s="1">
        <v>0.002429378229361146</v>
      </c>
      <c r="E33" s="1">
        <v>0.0018692035310651433</v>
      </c>
      <c r="F33" s="1">
        <v>0.003207673975045967</v>
      </c>
      <c r="G33" s="1">
        <v>0.002349581458756662</v>
      </c>
      <c r="H33" s="1">
        <v>0.0018522681149645665</v>
      </c>
      <c r="I33" s="1">
        <v>0.0013920203165002718</v>
      </c>
      <c r="J33" s="1">
        <v>0.0030662392470045124</v>
      </c>
      <c r="K33" s="1">
        <v>0.00139018875335064</v>
      </c>
      <c r="L33" s="1">
        <v>0.0011292897117081077</v>
      </c>
      <c r="M33" s="1">
        <v>0.0027622024160372034</v>
      </c>
      <c r="N33" s="1">
        <v>0.001964174897521983</v>
      </c>
      <c r="O33" s="1">
        <v>0.002515013681404706</v>
      </c>
      <c r="P33" s="1">
        <v>0.0013954618548247394</v>
      </c>
      <c r="Q33" s="1">
        <v>0.0030298698659286852</v>
      </c>
      <c r="R33" s="1">
        <v>0.0026893474655774927</v>
      </c>
      <c r="S33" s="1">
        <v>0.0014936203371737253</v>
      </c>
      <c r="T33" s="1">
        <v>0.0019746273836457546</v>
      </c>
      <c r="U33" s="1">
        <v>0.0019445387881851714</v>
      </c>
      <c r="V33" s="1">
        <v>0.004769814130862737</v>
      </c>
      <c r="W33" s="1">
        <v>0.006181557245377952</v>
      </c>
      <c r="X33" s="1">
        <v>0.0008833629180304069</v>
      </c>
      <c r="Y33" s="1">
        <v>0.0027534607939773393</v>
      </c>
      <c r="Z33" s="1">
        <v>0.002254950336528099</v>
      </c>
      <c r="AA33" s="1">
        <v>0.002522226774247306</v>
      </c>
      <c r="AB33" s="1">
        <v>0.005458844843399661</v>
      </c>
      <c r="AC33" s="1">
        <v>0.00281515284766515</v>
      </c>
      <c r="AD33" s="1">
        <v>0.006990281879627567</v>
      </c>
      <c r="AE33" s="1">
        <v>0.0029867272124713246</v>
      </c>
      <c r="AF33" s="1">
        <v>0.003076106441300334</v>
      </c>
      <c r="AG33" s="1">
        <v>1.001453805196388</v>
      </c>
      <c r="AH33" s="1">
        <v>0.00407739894747641</v>
      </c>
    </row>
    <row r="34" spans="1:34" ht="21" customHeight="1">
      <c r="A34" s="3">
        <v>32</v>
      </c>
      <c r="B34" s="1" t="s">
        <v>35</v>
      </c>
      <c r="C34" s="1">
        <v>0.006190837353169896</v>
      </c>
      <c r="D34" s="1">
        <v>0.014225767140665917</v>
      </c>
      <c r="E34" s="1">
        <v>0.0035663887236043203</v>
      </c>
      <c r="F34" s="1">
        <v>0.007256200840822439</v>
      </c>
      <c r="G34" s="1">
        <v>0.009121781209972422</v>
      </c>
      <c r="H34" s="1">
        <v>0.008567093582586477</v>
      </c>
      <c r="I34" s="1">
        <v>0.019813736784683664</v>
      </c>
      <c r="J34" s="1">
        <v>0.025283271130308458</v>
      </c>
      <c r="K34" s="1">
        <v>0.007494788663634957</v>
      </c>
      <c r="L34" s="1">
        <v>0.0045083609128309015</v>
      </c>
      <c r="M34" s="1">
        <v>0.011948227231584186</v>
      </c>
      <c r="N34" s="1">
        <v>0.006779289625433248</v>
      </c>
      <c r="O34" s="1">
        <v>0.008605195760955364</v>
      </c>
      <c r="P34" s="1">
        <v>0.003774420888174652</v>
      </c>
      <c r="Q34" s="1">
        <v>0.008183007031436746</v>
      </c>
      <c r="R34" s="1">
        <v>0.0071685953609684095</v>
      </c>
      <c r="S34" s="1">
        <v>0.015356879483466023</v>
      </c>
      <c r="T34" s="1">
        <v>0.006651859695139559</v>
      </c>
      <c r="U34" s="1">
        <v>0.011382949597183062</v>
      </c>
      <c r="V34" s="1">
        <v>0.002424039141907215</v>
      </c>
      <c r="W34" s="1">
        <v>0.0037553408787496085</v>
      </c>
      <c r="X34" s="1">
        <v>0.009119790085003554</v>
      </c>
      <c r="Y34" s="1">
        <v>0.006152764584773658</v>
      </c>
      <c r="Z34" s="1">
        <v>0.003856554522513712</v>
      </c>
      <c r="AA34" s="1">
        <v>0.002486168170035576</v>
      </c>
      <c r="AB34" s="1">
        <v>0.006037318779065566</v>
      </c>
      <c r="AC34" s="1">
        <v>0.004057442829685287</v>
      </c>
      <c r="AD34" s="1">
        <v>0.02001452384697312</v>
      </c>
      <c r="AE34" s="1">
        <v>0.004995998473921643</v>
      </c>
      <c r="AF34" s="1">
        <v>0.011132409561244335</v>
      </c>
      <c r="AG34" s="1">
        <v>0.008806915701558083</v>
      </c>
      <c r="AH34" s="1">
        <v>1.0038111320577754</v>
      </c>
    </row>
    <row r="35" s="2" customFormat="1" ht="19.5" customHeight="1">
      <c r="A35" s="5"/>
    </row>
    <row r="36" s="2" customFormat="1" ht="19.5" customHeight="1">
      <c r="A36" s="5"/>
    </row>
  </sheetData>
  <printOptions/>
  <pageMargins left="0.7874015748031497" right="0.7874015748031497" top="0.984251968503937" bottom="0.984251968503937" header="0.5118110236220472" footer="0.5118110236220472"/>
  <pageSetup fitToWidth="2" fitToHeight="1" horizontalDpi="300" verticalDpi="300" orientation="landscape" paperSize="12" scale="78" r:id="rId1"/>
  <headerFooter alignWithMargins="0">
    <oddHeader>&amp;LFILE=&amp;F,SHEET=&amp;A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石川県-県民交流課-統計情報室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経済波及効果分析（産業連関表）</dc:title>
  <dc:subject>産業分類ごとの経済波及効果の積算</dc:subject>
  <dc:creator>統計情報室統計情報グループ</dc:creator>
  <cp:keywords/>
  <dc:description/>
  <cp:lastModifiedBy>kimura-h</cp:lastModifiedBy>
  <cp:lastPrinted>2003-09-02T02:19:15Z</cp:lastPrinted>
  <dcterms:created xsi:type="dcterms:W3CDTF">1999-08-29T23:57:57Z</dcterms:created>
  <dcterms:modified xsi:type="dcterms:W3CDTF">2004-05-11T02:04:36Z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